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18"/>
  <workbookPr defaultThemeVersion="124226"/>
  <mc:AlternateContent xmlns:mc="http://schemas.openxmlformats.org/markup-compatibility/2006">
    <mc:Choice Requires="x15">
      <x15ac:absPath xmlns:x15ac="http://schemas.microsoft.com/office/spreadsheetml/2010/11/ac" url="Z:\1 CID processing\6 MID\3 Reports\Budget\Budget 5 yr - 26-30\"/>
    </mc:Choice>
  </mc:AlternateContent>
  <xr:revisionPtr revIDLastSave="0" documentId="13_ncr:1_{E255BF93-2CA0-4292-8709-DF65CDB9F18C}" xr6:coauthVersionLast="47" xr6:coauthVersionMax="47" xr10:uidLastSave="{00000000-0000-0000-0000-000000000000}"/>
  <bookViews>
    <workbookView xWindow="-120" yWindow="-120" windowWidth="24240" windowHeight="13020" firstSheet="1" activeTab="1" xr2:uid="{00000000-000D-0000-FFFF-FFFF00000000}"/>
  </bookViews>
  <sheets>
    <sheet name="Instructions" sheetId="4" r:id="rId1"/>
    <sheet name="Form 2" sheetId="2" r:id="rId2"/>
    <sheet name="Form 3" sheetId="5" r:id="rId3"/>
    <sheet name="Surplus Utilisation" sheetId="7" r:id="rId4"/>
    <sheet name="Depreciation calculation" sheetId="6" r:id="rId5"/>
  </sheets>
  <definedNames>
    <definedName name="_xlnm.Print_Area" localSheetId="1">'Form 2'!$B$1:$U$104</definedName>
    <definedName name="_xlnm.Print_Area" localSheetId="2">'Form 3'!$B$1:$M$99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29" i="2" l="1"/>
  <c r="P29" i="2"/>
  <c r="L29" i="2"/>
  <c r="H29" i="2"/>
  <c r="H28" i="2"/>
  <c r="D29" i="2"/>
  <c r="P49" i="2"/>
  <c r="L28" i="2"/>
  <c r="P28" i="2" s="1"/>
  <c r="T28" i="2" s="1"/>
  <c r="P19" i="2" l="1"/>
  <c r="L36" i="2"/>
  <c r="P60" i="2"/>
  <c r="H36" i="2"/>
  <c r="P65" i="2"/>
  <c r="P64" i="2"/>
  <c r="P58" i="2"/>
  <c r="P57" i="2"/>
  <c r="P54" i="2"/>
  <c r="P48" i="2"/>
  <c r="P44" i="2"/>
  <c r="P43" i="2"/>
  <c r="P42" i="2"/>
  <c r="P67" i="2"/>
  <c r="P69" i="2"/>
  <c r="P70" i="2"/>
  <c r="P73" i="2"/>
  <c r="H69" i="2"/>
  <c r="H70" i="2"/>
  <c r="H64" i="2"/>
  <c r="H60" i="2"/>
  <c r="H57" i="2"/>
  <c r="H54" i="2"/>
  <c r="H49" i="2"/>
  <c r="H44" i="2"/>
  <c r="P46" i="2"/>
  <c r="H73" i="2"/>
  <c r="H65" i="2"/>
  <c r="H58" i="2"/>
  <c r="H48" i="2"/>
  <c r="H46" i="2"/>
  <c r="H43" i="2"/>
  <c r="H42" i="2"/>
  <c r="H40" i="2"/>
  <c r="D35" i="2"/>
  <c r="H32" i="2" l="1"/>
  <c r="H30" i="2"/>
  <c r="H27" i="2"/>
  <c r="H26" i="2"/>
  <c r="L20" i="2"/>
  <c r="H19" i="2"/>
  <c r="L19" i="2" s="1"/>
  <c r="H23" i="2"/>
  <c r="L23" i="2" s="1"/>
  <c r="H20" i="2"/>
  <c r="H21" i="2"/>
  <c r="L21" i="2" s="1"/>
  <c r="P21" i="2" s="1"/>
  <c r="T21" i="2" s="1"/>
  <c r="H22" i="2"/>
  <c r="L22" i="2" s="1"/>
  <c r="D73" i="5"/>
  <c r="D72" i="5"/>
  <c r="D71" i="5"/>
  <c r="D70" i="5"/>
  <c r="D69" i="5"/>
  <c r="D68" i="5"/>
  <c r="D67" i="5"/>
  <c r="D66" i="5"/>
  <c r="D65" i="5"/>
  <c r="D64" i="5"/>
  <c r="D63" i="5"/>
  <c r="D62" i="5"/>
  <c r="D61" i="5"/>
  <c r="D60" i="5"/>
  <c r="D59" i="5"/>
  <c r="D58" i="5"/>
  <c r="D57" i="5"/>
  <c r="D56" i="5"/>
  <c r="D55" i="5"/>
  <c r="D54" i="5"/>
  <c r="D53" i="5"/>
  <c r="D52" i="5"/>
  <c r="D51" i="5"/>
  <c r="D50" i="5"/>
  <c r="D49" i="5"/>
  <c r="D48" i="5"/>
  <c r="D47" i="5"/>
  <c r="D46" i="5"/>
  <c r="D45" i="5"/>
  <c r="D44" i="5"/>
  <c r="D43" i="5"/>
  <c r="D42" i="5"/>
  <c r="D41" i="5"/>
  <c r="D40" i="5"/>
  <c r="D9" i="5"/>
  <c r="H9" i="5" s="1"/>
  <c r="L9" i="5" s="1"/>
  <c r="H67" i="5" l="1"/>
  <c r="L67" i="5" s="1"/>
  <c r="H55" i="5"/>
  <c r="L55" i="5" s="1"/>
  <c r="H106" i="2" l="1"/>
  <c r="T18" i="2" l="1"/>
  <c r="P18" i="2"/>
  <c r="L18" i="2"/>
  <c r="H18" i="2"/>
  <c r="D18" i="2"/>
  <c r="D83" i="2"/>
  <c r="B9" i="5" l="1"/>
  <c r="D89" i="5" l="1"/>
  <c r="H89" i="5" s="1"/>
  <c r="L89" i="5" s="1"/>
  <c r="D106" i="2" l="1"/>
  <c r="B2" i="5" l="1"/>
  <c r="A2" i="7" s="1"/>
  <c r="A1" i="7" l="1"/>
  <c r="D21" i="7"/>
  <c r="D8" i="7"/>
  <c r="D72" i="7" s="1"/>
  <c r="H72" i="5"/>
  <c r="L72" i="5" s="1"/>
  <c r="L106" i="2"/>
  <c r="T106" i="2"/>
  <c r="P106" i="2"/>
  <c r="D30" i="5"/>
  <c r="H30" i="5" s="1"/>
  <c r="L30" i="5" s="1"/>
  <c r="B30" i="5"/>
  <c r="H53" i="5"/>
  <c r="L53" i="5" s="1"/>
  <c r="L28" i="6"/>
  <c r="N28" i="6"/>
  <c r="I28" i="6" s="1"/>
  <c r="J28" i="6" s="1"/>
  <c r="K28" i="6" s="1"/>
  <c r="L27" i="6"/>
  <c r="N27" i="6" s="1"/>
  <c r="I27" i="6" s="1"/>
  <c r="J27" i="6" s="1"/>
  <c r="K27" i="6" s="1"/>
  <c r="L26" i="6"/>
  <c r="N26" i="6" s="1"/>
  <c r="I26" i="6" s="1"/>
  <c r="J26" i="6" s="1"/>
  <c r="K26" i="6" s="1"/>
  <c r="L25" i="6"/>
  <c r="N25" i="6" s="1"/>
  <c r="I25" i="6" s="1"/>
  <c r="J25" i="6" s="1"/>
  <c r="K25" i="6" s="1"/>
  <c r="L24" i="6"/>
  <c r="N24" i="6"/>
  <c r="I24" i="6"/>
  <c r="J24" i="6"/>
  <c r="K24" i="6" s="1"/>
  <c r="L23" i="6"/>
  <c r="N23" i="6" s="1"/>
  <c r="L22" i="6"/>
  <c r="N22" i="6" s="1"/>
  <c r="L21" i="6"/>
  <c r="N21" i="6"/>
  <c r="H21" i="6" s="1"/>
  <c r="J21" i="6" s="1"/>
  <c r="K21" i="6" s="1"/>
  <c r="L20" i="6"/>
  <c r="N20" i="6" s="1"/>
  <c r="H20" i="6" s="1"/>
  <c r="J20" i="6" s="1"/>
  <c r="K20" i="6" s="1"/>
  <c r="L19" i="6"/>
  <c r="N19" i="6"/>
  <c r="H19" i="6" s="1"/>
  <c r="J19" i="6" s="1"/>
  <c r="K19" i="6" s="1"/>
  <c r="L18" i="6"/>
  <c r="N18" i="6" s="1"/>
  <c r="L17" i="6"/>
  <c r="N17" i="6" s="1"/>
  <c r="L16" i="6"/>
  <c r="N16" i="6"/>
  <c r="H16" i="6" s="1"/>
  <c r="L15" i="6"/>
  <c r="N15" i="6"/>
  <c r="I15" i="6" s="1"/>
  <c r="L14" i="6"/>
  <c r="N14" i="6" s="1"/>
  <c r="L13" i="6"/>
  <c r="N13" i="6" s="1"/>
  <c r="L12" i="6"/>
  <c r="N12" i="6" s="1"/>
  <c r="L11" i="6"/>
  <c r="N11" i="6" s="1"/>
  <c r="H11" i="6" s="1"/>
  <c r="L10" i="6"/>
  <c r="N10" i="6" s="1"/>
  <c r="L9" i="6"/>
  <c r="N9" i="6" s="1"/>
  <c r="L8" i="6"/>
  <c r="N8" i="6" s="1"/>
  <c r="L7" i="6"/>
  <c r="N7" i="6" s="1"/>
  <c r="L6" i="6"/>
  <c r="N6" i="6" s="1"/>
  <c r="L5" i="6"/>
  <c r="N5" i="6" s="1"/>
  <c r="L4" i="6"/>
  <c r="N4" i="6" s="1"/>
  <c r="G16" i="6"/>
  <c r="J16" i="6"/>
  <c r="K16" i="6" s="1"/>
  <c r="I16" i="6"/>
  <c r="I19" i="6"/>
  <c r="I21" i="6"/>
  <c r="T76" i="2"/>
  <c r="P76" i="2"/>
  <c r="L76" i="2"/>
  <c r="H76" i="2"/>
  <c r="D76" i="2"/>
  <c r="D21" i="5"/>
  <c r="H21" i="5" s="1"/>
  <c r="L21" i="5" s="1"/>
  <c r="B1" i="5"/>
  <c r="D8" i="5"/>
  <c r="B78" i="5"/>
  <c r="B96" i="5"/>
  <c r="B94" i="5"/>
  <c r="B82" i="5"/>
  <c r="B80" i="5"/>
  <c r="B79" i="5"/>
  <c r="B77" i="5"/>
  <c r="B76" i="5"/>
  <c r="B75" i="5"/>
  <c r="B38" i="5"/>
  <c r="B36" i="5"/>
  <c r="B35" i="5"/>
  <c r="B34" i="5"/>
  <c r="B32" i="5"/>
  <c r="B31" i="5"/>
  <c r="B29" i="5"/>
  <c r="B28" i="5"/>
  <c r="B27" i="5"/>
  <c r="B26" i="5"/>
  <c r="B25" i="5"/>
  <c r="B24" i="5"/>
  <c r="B22" i="5"/>
  <c r="B21" i="5"/>
  <c r="B20" i="5"/>
  <c r="B19" i="5"/>
  <c r="B18" i="5"/>
  <c r="B15" i="5"/>
  <c r="B12" i="5"/>
  <c r="B6" i="5"/>
  <c r="B99" i="5"/>
  <c r="B17" i="5"/>
  <c r="B10" i="5"/>
  <c r="B8" i="5"/>
  <c r="D92" i="5"/>
  <c r="H92" i="5" s="1"/>
  <c r="L92" i="5" s="1"/>
  <c r="D91" i="5"/>
  <c r="H91" i="5" s="1"/>
  <c r="D90" i="5"/>
  <c r="H90" i="5" s="1"/>
  <c r="L90" i="5" s="1"/>
  <c r="D88" i="5"/>
  <c r="H88" i="5" s="1"/>
  <c r="L88" i="5" s="1"/>
  <c r="D87" i="5"/>
  <c r="H87" i="5" s="1"/>
  <c r="L87" i="5" s="1"/>
  <c r="D86" i="5"/>
  <c r="H86" i="5" s="1"/>
  <c r="L86" i="5" s="1"/>
  <c r="D85" i="5"/>
  <c r="H85" i="5" s="1"/>
  <c r="L85" i="5" s="1"/>
  <c r="D84" i="5"/>
  <c r="H84" i="5" s="1"/>
  <c r="L84" i="5" s="1"/>
  <c r="D83" i="5"/>
  <c r="H83" i="5" s="1"/>
  <c r="L83" i="5" s="1"/>
  <c r="D80" i="5"/>
  <c r="H80" i="5" s="1"/>
  <c r="L80" i="5" s="1"/>
  <c r="D79" i="5"/>
  <c r="H79" i="5" s="1"/>
  <c r="L79" i="5" s="1"/>
  <c r="D78" i="5"/>
  <c r="H78" i="5" s="1"/>
  <c r="L78" i="5" s="1"/>
  <c r="D77" i="5"/>
  <c r="H77" i="5" s="1"/>
  <c r="L77" i="5" s="1"/>
  <c r="D76" i="5"/>
  <c r="H76" i="5" s="1"/>
  <c r="H59" i="5"/>
  <c r="L59" i="5" s="1"/>
  <c r="H40" i="5"/>
  <c r="H41" i="5"/>
  <c r="L41" i="5" s="1"/>
  <c r="H42" i="5"/>
  <c r="L42" i="5" s="1"/>
  <c r="H43" i="5"/>
  <c r="L43" i="5" s="1"/>
  <c r="H44" i="5"/>
  <c r="L44" i="5" s="1"/>
  <c r="H45" i="5"/>
  <c r="L45" i="5" s="1"/>
  <c r="H46" i="5"/>
  <c r="L46" i="5" s="1"/>
  <c r="H47" i="5"/>
  <c r="L47" i="5" s="1"/>
  <c r="H48" i="5"/>
  <c r="L48" i="5" s="1"/>
  <c r="H49" i="5"/>
  <c r="L49" i="5" s="1"/>
  <c r="H50" i="5"/>
  <c r="L50" i="5" s="1"/>
  <c r="H51" i="5"/>
  <c r="L51" i="5" s="1"/>
  <c r="H52" i="5"/>
  <c r="L52" i="5" s="1"/>
  <c r="H54" i="5"/>
  <c r="L54" i="5" s="1"/>
  <c r="H56" i="5"/>
  <c r="L56" i="5" s="1"/>
  <c r="H57" i="5"/>
  <c r="L57" i="5" s="1"/>
  <c r="H58" i="5"/>
  <c r="L58" i="5" s="1"/>
  <c r="H60" i="5"/>
  <c r="L60" i="5" s="1"/>
  <c r="H61" i="5"/>
  <c r="L61" i="5" s="1"/>
  <c r="H62" i="5"/>
  <c r="L62" i="5" s="1"/>
  <c r="H63" i="5"/>
  <c r="L63" i="5" s="1"/>
  <c r="H64" i="5"/>
  <c r="L64" i="5" s="1"/>
  <c r="H65" i="5"/>
  <c r="L65" i="5" s="1"/>
  <c r="H66" i="5"/>
  <c r="L66" i="5" s="1"/>
  <c r="H68" i="5"/>
  <c r="L68" i="5" s="1"/>
  <c r="H69" i="5"/>
  <c r="L69" i="5" s="1"/>
  <c r="H70" i="5"/>
  <c r="L70" i="5" s="1"/>
  <c r="H71" i="5"/>
  <c r="L71" i="5" s="1"/>
  <c r="H73" i="5"/>
  <c r="L73" i="5" s="1"/>
  <c r="D39" i="5"/>
  <c r="H39" i="5" s="1"/>
  <c r="L39" i="5" s="1"/>
  <c r="D36" i="5"/>
  <c r="H36" i="5" s="1"/>
  <c r="D35" i="5"/>
  <c r="H35" i="5" s="1"/>
  <c r="D34" i="5"/>
  <c r="H34" i="5" s="1"/>
  <c r="D32" i="5"/>
  <c r="H32" i="5" s="1"/>
  <c r="L32" i="5" s="1"/>
  <c r="D31" i="5"/>
  <c r="H31" i="5" s="1"/>
  <c r="L31" i="5" s="1"/>
  <c r="D29" i="5"/>
  <c r="H29" i="5" s="1"/>
  <c r="L29" i="5" s="1"/>
  <c r="D28" i="5"/>
  <c r="H28" i="5" s="1"/>
  <c r="L28" i="5" s="1"/>
  <c r="D27" i="5"/>
  <c r="H27" i="5" s="1"/>
  <c r="L27" i="5" s="1"/>
  <c r="D26" i="5"/>
  <c r="H26" i="5" s="1"/>
  <c r="L26" i="5" s="1"/>
  <c r="D25" i="5"/>
  <c r="H25" i="5" s="1"/>
  <c r="L25" i="5" s="1"/>
  <c r="D22" i="5"/>
  <c r="H22" i="5" s="1"/>
  <c r="L22" i="5" s="1"/>
  <c r="D20" i="5"/>
  <c r="H20" i="5" s="1"/>
  <c r="L20" i="5" s="1"/>
  <c r="D19" i="5"/>
  <c r="H19" i="5" s="1"/>
  <c r="L19" i="5" s="1"/>
  <c r="D18" i="5"/>
  <c r="H18" i="5" s="1"/>
  <c r="L18" i="5" s="1"/>
  <c r="D10" i="5"/>
  <c r="H10" i="5" s="1"/>
  <c r="L10" i="5" s="1"/>
  <c r="T13" i="2"/>
  <c r="U11" i="2" s="1"/>
  <c r="T83" i="2"/>
  <c r="P83" i="2"/>
  <c r="L83" i="2"/>
  <c r="H83" i="2"/>
  <c r="T39" i="2"/>
  <c r="P39" i="2"/>
  <c r="L39" i="2"/>
  <c r="H39" i="2"/>
  <c r="D39" i="2"/>
  <c r="T25" i="2"/>
  <c r="P25" i="2"/>
  <c r="L25" i="2"/>
  <c r="H25" i="2"/>
  <c r="D25" i="2"/>
  <c r="H13" i="2"/>
  <c r="P13" i="2"/>
  <c r="Q8" i="2" s="1"/>
  <c r="L13" i="2"/>
  <c r="M8" i="2" s="1"/>
  <c r="D13" i="2"/>
  <c r="E10" i="2" s="1"/>
  <c r="I14" i="6" l="1"/>
  <c r="H14" i="6"/>
  <c r="D32" i="7"/>
  <c r="E8" i="7" s="1"/>
  <c r="T95" i="2"/>
  <c r="T97" i="2" s="1"/>
  <c r="U25" i="2" s="1"/>
  <c r="P95" i="2"/>
  <c r="P97" i="2" s="1"/>
  <c r="G17" i="6"/>
  <c r="J17" i="6" s="1"/>
  <c r="K17" i="6" s="1"/>
  <c r="H17" i="6"/>
  <c r="I17" i="6"/>
  <c r="G12" i="6"/>
  <c r="F12" i="6"/>
  <c r="J12" i="6" s="1"/>
  <c r="K12" i="6" s="1"/>
  <c r="H12" i="6"/>
  <c r="I12" i="6"/>
  <c r="G13" i="6"/>
  <c r="H13" i="6"/>
  <c r="F13" i="6"/>
  <c r="J13" i="6" s="1"/>
  <c r="K13" i="6" s="1"/>
  <c r="I13" i="6"/>
  <c r="G5" i="6"/>
  <c r="I5" i="6"/>
  <c r="F5" i="6"/>
  <c r="E5" i="6"/>
  <c r="J5" i="6" s="1"/>
  <c r="K5" i="6" s="1"/>
  <c r="H5" i="6"/>
  <c r="F6" i="6"/>
  <c r="H6" i="6"/>
  <c r="I6" i="6"/>
  <c r="E6" i="6"/>
  <c r="J6" i="6" s="1"/>
  <c r="K6" i="6" s="1"/>
  <c r="G6" i="6"/>
  <c r="I8" i="6"/>
  <c r="H8" i="6"/>
  <c r="F8" i="6"/>
  <c r="G8" i="6"/>
  <c r="E8" i="6"/>
  <c r="J8" i="6" s="1"/>
  <c r="K8" i="6" s="1"/>
  <c r="I10" i="6"/>
  <c r="G10" i="6"/>
  <c r="H10" i="6"/>
  <c r="F10" i="6"/>
  <c r="J10" i="6" s="1"/>
  <c r="K10" i="6" s="1"/>
  <c r="I18" i="6"/>
  <c r="G18" i="6"/>
  <c r="J18" i="6" s="1"/>
  <c r="K18" i="6" s="1"/>
  <c r="H18" i="6"/>
  <c r="H4" i="6"/>
  <c r="H30" i="6" s="1"/>
  <c r="E4" i="6"/>
  <c r="G4" i="6"/>
  <c r="G30" i="6" s="1"/>
  <c r="I4" i="6"/>
  <c r="I30" i="6" s="1"/>
  <c r="F4" i="6"/>
  <c r="F30" i="6" s="1"/>
  <c r="H22" i="6"/>
  <c r="J22" i="6" s="1"/>
  <c r="K22" i="6" s="1"/>
  <c r="I22" i="6"/>
  <c r="F7" i="6"/>
  <c r="E7" i="6"/>
  <c r="J7" i="6" s="1"/>
  <c r="K7" i="6" s="1"/>
  <c r="H7" i="6"/>
  <c r="I7" i="6"/>
  <c r="G7" i="6"/>
  <c r="H23" i="6"/>
  <c r="J23" i="6" s="1"/>
  <c r="K23" i="6" s="1"/>
  <c r="I23" i="6"/>
  <c r="F9" i="6"/>
  <c r="J9" i="6" s="1"/>
  <c r="K9" i="6" s="1"/>
  <c r="I9" i="6"/>
  <c r="G9" i="6"/>
  <c r="H9" i="6"/>
  <c r="G11" i="6"/>
  <c r="I9" i="2"/>
  <c r="I10" i="2"/>
  <c r="U9" i="2"/>
  <c r="U10" i="2"/>
  <c r="G14" i="6"/>
  <c r="J14" i="6" s="1"/>
  <c r="K14" i="6" s="1"/>
  <c r="I20" i="6"/>
  <c r="D95" i="2"/>
  <c r="D97" i="2" s="1"/>
  <c r="D104" i="2" s="1"/>
  <c r="F11" i="6"/>
  <c r="J11" i="6" s="1"/>
  <c r="K11" i="6" s="1"/>
  <c r="G15" i="6"/>
  <c r="J15" i="6" s="1"/>
  <c r="K15" i="6" s="1"/>
  <c r="I11" i="6"/>
  <c r="Q9" i="2"/>
  <c r="Q10" i="2"/>
  <c r="M9" i="2"/>
  <c r="M10" i="2"/>
  <c r="H95" i="2"/>
  <c r="H97" i="2" s="1"/>
  <c r="H15" i="6"/>
  <c r="Q11" i="2"/>
  <c r="L95" i="2"/>
  <c r="L97" i="2" s="1"/>
  <c r="M35" i="2" s="1"/>
  <c r="I11" i="2"/>
  <c r="I8" i="2"/>
  <c r="M11" i="2"/>
  <c r="U8" i="2"/>
  <c r="D75" i="5"/>
  <c r="L35" i="5"/>
  <c r="L36" i="5"/>
  <c r="L34" i="5"/>
  <c r="E11" i="2"/>
  <c r="E9" i="2"/>
  <c r="H75" i="5"/>
  <c r="H24" i="5"/>
  <c r="L24" i="5"/>
  <c r="D17" i="5"/>
  <c r="H38" i="5"/>
  <c r="L40" i="5"/>
  <c r="L38" i="5" s="1"/>
  <c r="L17" i="5"/>
  <c r="H17" i="5"/>
  <c r="D24" i="5"/>
  <c r="L76" i="5"/>
  <c r="L75" i="5" s="1"/>
  <c r="D38" i="5"/>
  <c r="D12" i="5"/>
  <c r="H8" i="5"/>
  <c r="E8" i="2"/>
  <c r="H82" i="5"/>
  <c r="L91" i="5"/>
  <c r="L82" i="5" s="1"/>
  <c r="D82" i="5"/>
  <c r="E21" i="7" l="1"/>
  <c r="E32" i="7"/>
  <c r="M13" i="2"/>
  <c r="U13" i="2"/>
  <c r="Q13" i="2"/>
  <c r="I13" i="2"/>
  <c r="E30" i="6"/>
  <c r="J4" i="6"/>
  <c r="K4" i="6" s="1"/>
  <c r="U39" i="2"/>
  <c r="U35" i="2"/>
  <c r="U36" i="2"/>
  <c r="H104" i="2"/>
  <c r="D94" i="5"/>
  <c r="H94" i="5"/>
  <c r="Q25" i="2"/>
  <c r="Q39" i="2"/>
  <c r="Q18" i="2"/>
  <c r="Q76" i="2"/>
  <c r="P100" i="2"/>
  <c r="Q36" i="2"/>
  <c r="Q37" i="2"/>
  <c r="Q35" i="2"/>
  <c r="Q83" i="2"/>
  <c r="T104" i="2"/>
  <c r="U83" i="2"/>
  <c r="U18" i="2"/>
  <c r="L100" i="2"/>
  <c r="I36" i="2"/>
  <c r="M36" i="2"/>
  <c r="I76" i="2"/>
  <c r="I25" i="2"/>
  <c r="I39" i="2"/>
  <c r="L104" i="2"/>
  <c r="M76" i="2"/>
  <c r="M83" i="2"/>
  <c r="I37" i="2"/>
  <c r="M37" i="2"/>
  <c r="U95" i="2"/>
  <c r="I83" i="2"/>
  <c r="U37" i="2"/>
  <c r="Q95" i="2"/>
  <c r="I35" i="2"/>
  <c r="I18" i="2"/>
  <c r="E8" i="5"/>
  <c r="M9" i="5"/>
  <c r="E9" i="5"/>
  <c r="H100" i="2"/>
  <c r="U76" i="2"/>
  <c r="M18" i="2"/>
  <c r="M25" i="2"/>
  <c r="M95" i="2"/>
  <c r="T100" i="2"/>
  <c r="P104" i="2"/>
  <c r="M39" i="2"/>
  <c r="I95" i="2"/>
  <c r="E13" i="2"/>
  <c r="M10" i="5"/>
  <c r="E10" i="5"/>
  <c r="H12" i="5"/>
  <c r="L8" i="5"/>
  <c r="E12" i="5" l="1"/>
  <c r="U97" i="2"/>
  <c r="Q97" i="2"/>
  <c r="M97" i="2"/>
  <c r="I97" i="2"/>
  <c r="I10" i="5"/>
  <c r="I9" i="5"/>
  <c r="E83" i="2"/>
  <c r="E39" i="2"/>
  <c r="E25" i="2"/>
  <c r="D100" i="2"/>
  <c r="E76" i="2"/>
  <c r="E18" i="2"/>
  <c r="E37" i="2"/>
  <c r="E36" i="2"/>
  <c r="E35" i="2"/>
  <c r="E95" i="2"/>
  <c r="M8" i="5"/>
  <c r="M12" i="5" s="1"/>
  <c r="L12" i="5"/>
  <c r="I8" i="5"/>
  <c r="H96" i="5"/>
  <c r="L94" i="5"/>
  <c r="D96" i="5"/>
  <c r="I12" i="5" l="1"/>
  <c r="H99" i="5"/>
  <c r="I35" i="5"/>
  <c r="I34" i="5"/>
  <c r="I36" i="5"/>
  <c r="I24" i="5"/>
  <c r="I17" i="5"/>
  <c r="I75" i="5"/>
  <c r="I82" i="5"/>
  <c r="I38" i="5"/>
  <c r="I94" i="5"/>
  <c r="E97" i="2"/>
  <c r="E94" i="5"/>
  <c r="M94" i="5"/>
  <c r="L96" i="5"/>
  <c r="L99" i="5" s="1"/>
  <c r="M17" i="5"/>
  <c r="M38" i="5"/>
  <c r="E36" i="5"/>
  <c r="E38" i="5"/>
  <c r="M34" i="5"/>
  <c r="M24" i="5"/>
  <c r="D99" i="5"/>
  <c r="E75" i="5"/>
  <c r="M35" i="5"/>
  <c r="M75" i="5"/>
  <c r="E35" i="5"/>
  <c r="M36" i="5"/>
  <c r="E34" i="5"/>
  <c r="E17" i="5"/>
  <c r="E24" i="5"/>
  <c r="E82" i="5"/>
  <c r="M82" i="5"/>
  <c r="M96" i="5" l="1"/>
  <c r="E96" i="5"/>
  <c r="I96" i="5"/>
</calcChain>
</file>

<file path=xl/sharedStrings.xml><?xml version="1.0" encoding="utf-8"?>
<sst xmlns="http://schemas.openxmlformats.org/spreadsheetml/2006/main" count="391" uniqueCount="260">
  <si>
    <t>Please note the following when completing your budget:</t>
  </si>
  <si>
    <t>General comments before you start:</t>
  </si>
  <si>
    <r>
      <t>·</t>
    </r>
    <r>
      <rPr>
        <sz val="7"/>
        <rFont val="Times New Roman"/>
        <family val="1"/>
      </rPr>
      <t xml:space="preserve">         </t>
    </r>
    <r>
      <rPr>
        <sz val="10"/>
        <rFont val="Century Gothic"/>
        <family val="2"/>
      </rPr>
      <t>On Form 2 only enter amounts in the yellow cells. All other cells are locked.</t>
    </r>
  </si>
  <si>
    <r>
      <t>·</t>
    </r>
    <r>
      <rPr>
        <sz val="7"/>
        <rFont val="Times New Roman"/>
        <family val="1"/>
      </rPr>
      <t xml:space="preserve">         </t>
    </r>
    <r>
      <rPr>
        <sz val="10"/>
        <rFont val="Century Gothic"/>
        <family val="2"/>
      </rPr>
      <t>Budget amounts exclude VAT</t>
    </r>
  </si>
  <si>
    <r>
      <t>·</t>
    </r>
    <r>
      <rPr>
        <sz val="7"/>
        <rFont val="Times New Roman"/>
        <family val="1"/>
      </rPr>
      <t>       </t>
    </r>
    <r>
      <rPr>
        <sz val="10"/>
        <rFont val="Century Gothic"/>
        <family val="2"/>
      </rPr>
      <t xml:space="preserve"> Total Income (how the budget is funded) will always match Total Expenditure and </t>
    </r>
    <r>
      <rPr>
        <u/>
        <sz val="10"/>
        <rFont val="Century Gothic"/>
        <family val="2"/>
      </rPr>
      <t>MUST</t>
    </r>
    <r>
      <rPr>
        <sz val="10"/>
        <rFont val="Century Gothic"/>
        <family val="2"/>
      </rPr>
      <t xml:space="preserve"> be reflected as a</t>
    </r>
  </si>
  <si>
    <t xml:space="preserve">       credit (negative value).</t>
  </si>
  <si>
    <r>
      <t>·</t>
    </r>
    <r>
      <rPr>
        <sz val="7"/>
        <rFont val="Times New Roman"/>
        <family val="1"/>
      </rPr>
      <t xml:space="preserve">         </t>
    </r>
    <r>
      <rPr>
        <sz val="10"/>
        <rFont val="Century Gothic"/>
        <family val="2"/>
      </rPr>
      <t>The 3% Provision for Bad Debt is calculated automatically.</t>
    </r>
  </si>
  <si>
    <r>
      <t>·</t>
    </r>
    <r>
      <rPr>
        <sz val="7"/>
        <rFont val="Times New Roman"/>
        <family val="1"/>
      </rPr>
      <t xml:space="preserve">         </t>
    </r>
    <r>
      <rPr>
        <sz val="10"/>
        <rFont val="Century Gothic"/>
        <family val="2"/>
      </rPr>
      <t>If you feel you need to add an expenditure line item, contact us first.</t>
    </r>
  </si>
  <si>
    <t>When completing the budget:</t>
  </si>
  <si>
    <t>INCOME</t>
  </si>
  <si>
    <r>
      <t xml:space="preserve">Only budget for income that the CID is guaranteed to receive and which will be used to help fund the expenditure budget </t>
    </r>
    <r>
      <rPr>
        <u/>
        <sz val="10"/>
        <rFont val="Century Gothic"/>
        <family val="2"/>
      </rPr>
      <t>Note:</t>
    </r>
    <r>
      <rPr>
        <sz val="10"/>
        <rFont val="Century Gothic"/>
        <family val="2"/>
      </rPr>
      <t xml:space="preserve"> Interest earned during the financial year cannot be used.</t>
    </r>
  </si>
  <si>
    <t xml:space="preserve">The main source of revenue will be the additional property rates billed by the City which will be paid over on a monthly basis to the NPC. </t>
  </si>
  <si>
    <t>Surplus funds may be used to fund projects or purchase assets.  When purchasing assets, please consider the impact on Depreciation, Insurance and Repairs &amp; Maintenance for future years as these items cannot be funded from surplus funds.</t>
  </si>
  <si>
    <t>EXPENDITURE</t>
  </si>
  <si>
    <t xml:space="preserve">Employee related: </t>
  </si>
  <si>
    <r>
      <t xml:space="preserve">Only reflect budget amounts in this category when the CID plans to make staff appointments, deduct UIF, tax, etc. and provide the employee annually with an IRP5. 
</t>
    </r>
    <r>
      <rPr>
        <u/>
        <sz val="10"/>
        <rFont val="Century Gothic"/>
        <family val="2"/>
      </rPr>
      <t/>
    </r>
  </si>
  <si>
    <r>
      <rPr>
        <u/>
        <sz val="10"/>
        <rFont val="Century Gothic"/>
        <family val="2"/>
      </rPr>
      <t xml:space="preserve">Salaries and Wages:
</t>
    </r>
    <r>
      <rPr>
        <sz val="10"/>
        <rFont val="Century Gothic"/>
        <family val="2"/>
      </rPr>
      <t>Annual remuneration of permanent staff.  Annual remuneration refers to basic salary as per IRP5 excluding PAYE, UIF, allowances, benefits, performance and other bonuses and service related awards.  (Net Salary)</t>
    </r>
  </si>
  <si>
    <r>
      <rPr>
        <u/>
        <sz val="10"/>
        <rFont val="Century Gothic"/>
        <family val="2"/>
      </rPr>
      <t>PAYE:</t>
    </r>
    <r>
      <rPr>
        <sz val="10"/>
        <rFont val="Century Gothic"/>
        <family val="2"/>
      </rPr>
      <t xml:space="preserve">
Tax payments to SARS on a monthly basis. </t>
    </r>
  </si>
  <si>
    <r>
      <rPr>
        <u/>
        <sz val="10"/>
        <rFont val="Century Gothic"/>
        <family val="2"/>
      </rPr>
      <t>UIF:</t>
    </r>
    <r>
      <rPr>
        <sz val="10"/>
        <rFont val="Century Gothic"/>
        <family val="2"/>
      </rPr>
      <t xml:space="preserve">
Employer contributions to Unemployment Insurance Fund - 
http://www.sars.gov.za/TaxTypes/UIF/Pages/default.aspx - Refer to the item: “How much do you need to pay”.</t>
    </r>
  </si>
  <si>
    <r>
      <rPr>
        <u/>
        <sz val="10"/>
        <rFont val="Century Gothic"/>
        <family val="2"/>
      </rPr>
      <t>SDL:</t>
    </r>
    <r>
      <rPr>
        <sz val="10"/>
        <rFont val="Century Gothic"/>
        <family val="2"/>
      </rPr>
      <t xml:space="preserve">
A Skills Development Levy imposed to encourage learning and development in South Africa and is determined by an employer's salary bill. The funds are to be used to develop and improve skills of employees.</t>
    </r>
  </si>
  <si>
    <r>
      <rPr>
        <u/>
        <sz val="10"/>
        <rFont val="Century Gothic"/>
        <family val="2"/>
      </rPr>
      <t xml:space="preserve">COIDA
</t>
    </r>
    <r>
      <rPr>
        <sz val="10"/>
        <rFont val="Century Gothic"/>
        <family val="2"/>
      </rPr>
      <t xml:space="preserve">Compensation for Occupational Injuries and Diseases Act - To provide for compensation for disablement caused by occupational injuries or diseases sustained or contracted by employees in the course of their employment, or for death resulting from such injuries or diseases; and to provide for matters connected therewith </t>
    </r>
    <r>
      <rPr>
        <b/>
        <sz val="10"/>
        <rFont val="Century Gothic"/>
        <family val="2"/>
      </rPr>
      <t xml:space="preserve">(as a guide use R0.20 per R100) </t>
    </r>
  </si>
  <si>
    <r>
      <rPr>
        <u/>
        <sz val="10"/>
        <rFont val="Century Gothic"/>
        <family val="2"/>
      </rPr>
      <t xml:space="preserve">Bonus:
</t>
    </r>
    <r>
      <rPr>
        <sz val="10"/>
        <rFont val="Century Gothic"/>
        <family val="2"/>
      </rPr>
      <t xml:space="preserve">Additional compensation paid/accrued to an employee or department as a reward for achieving specific goals or attaining predetermined targets. A performance bonus is compensation beyond normal wages and is typically awarded after a performance appraisal and analysis of projects completed by the employee over a specific period of time. Included in this account is any other form of bonus given to employees. 
</t>
    </r>
    <r>
      <rPr>
        <b/>
        <i/>
        <sz val="10"/>
        <rFont val="Century Gothic"/>
        <family val="2"/>
      </rPr>
      <t>Bonuses can only be paid to employees and not to a Management Company</t>
    </r>
    <r>
      <rPr>
        <sz val="10"/>
        <rFont val="Century Gothic"/>
        <family val="2"/>
      </rPr>
      <t xml:space="preserve">. 
</t>
    </r>
  </si>
  <si>
    <r>
      <rPr>
        <b/>
        <i/>
        <u/>
        <sz val="10"/>
        <rFont val="Century Gothic"/>
        <family val="2"/>
      </rPr>
      <t>General note iro Employee Related:</t>
    </r>
    <r>
      <rPr>
        <i/>
        <sz val="10"/>
        <rFont val="Century Gothic"/>
        <family val="2"/>
      </rPr>
      <t xml:space="preserve"> If the CID plans to outsource the management of the company, the costs should be budgeted for in General Expenditure under "Administration and management".</t>
    </r>
  </si>
  <si>
    <t xml:space="preserve">Core Business: </t>
  </si>
  <si>
    <t>This is the reason for the CID’s existence and the budgeted amounts should reflect the business plan`s focus:</t>
  </si>
  <si>
    <r>
      <rPr>
        <u/>
        <sz val="10"/>
        <rFont val="Century Gothic"/>
        <family val="2"/>
      </rPr>
      <t xml:space="preserve">Cleansing services:
</t>
    </r>
    <r>
      <rPr>
        <sz val="10"/>
        <rFont val="Century Gothic"/>
        <family val="2"/>
      </rPr>
      <t xml:space="preserve">Supplementary cleansing service provided in the CID. Contracted out. 
If the service is performed by the CID`s own employees the cost would be budgeted for under Employee Related. </t>
    </r>
  </si>
  <si>
    <r>
      <rPr>
        <u/>
        <sz val="10"/>
        <rFont val="Century Gothic"/>
        <family val="2"/>
      </rPr>
      <t xml:space="preserve">Environmental upgrading:
</t>
    </r>
    <r>
      <rPr>
        <sz val="10"/>
        <rFont val="Century Gothic"/>
        <family val="2"/>
      </rPr>
      <t>This covers all greening Initiatives e.g. recycling, landscaping, water saving, bush clearing, removal of alien vegetation, parks, etc.</t>
    </r>
  </si>
  <si>
    <r>
      <rPr>
        <u/>
        <sz val="10"/>
        <rFont val="Century Gothic"/>
        <family val="2"/>
      </rPr>
      <t xml:space="preserve">Law Enforcement Officers:
</t>
    </r>
    <r>
      <rPr>
        <sz val="10"/>
        <rFont val="Century Gothic"/>
        <family val="2"/>
      </rPr>
      <t>Contracting of City Law Enforcement Officers.</t>
    </r>
  </si>
  <si>
    <r>
      <rPr>
        <u/>
        <sz val="10"/>
        <rFont val="Century Gothic"/>
        <family val="2"/>
      </rPr>
      <t>Public Safety</t>
    </r>
    <r>
      <rPr>
        <sz val="10"/>
        <rFont val="Century Gothic"/>
        <family val="2"/>
      </rPr>
      <t xml:space="preserve">:
Outsourcing of top up public safety by contracting a private security company. </t>
    </r>
  </si>
  <si>
    <r>
      <rPr>
        <u/>
        <sz val="10"/>
        <rFont val="Century Gothic"/>
        <family val="2"/>
      </rPr>
      <t>Public Safety - CCTV monitoring</t>
    </r>
    <r>
      <rPr>
        <sz val="10"/>
        <rFont val="Century Gothic"/>
        <family val="2"/>
      </rPr>
      <t>:
When the CCTV monitoring is performed by an independent company.</t>
    </r>
  </si>
  <si>
    <r>
      <rPr>
        <u/>
        <sz val="10"/>
        <rFont val="Century Gothic"/>
        <family val="2"/>
      </rPr>
      <t>Public Safety - CCTV - Leasing of cameras:</t>
    </r>
    <r>
      <rPr>
        <sz val="10"/>
        <rFont val="Century Gothic"/>
        <family val="2"/>
      </rPr>
      <t xml:space="preserve">
When cameras are not purchased by the CID but leased from a service provider.  Benefits include no budgeting for Insurance, Depreciation or Repairs and Maintenance etc. and all the risks reside with the service provider.</t>
    </r>
  </si>
  <si>
    <r>
      <rPr>
        <u/>
        <sz val="10"/>
        <rFont val="Century Gothic"/>
        <family val="2"/>
      </rPr>
      <t>Social upliftment</t>
    </r>
    <r>
      <rPr>
        <sz val="10"/>
        <rFont val="Century Gothic"/>
        <family val="2"/>
      </rPr>
      <t>:
Dealing with social issues such as street people, prostitution, drug abuse through NGOs or own initiatives.</t>
    </r>
  </si>
  <si>
    <r>
      <rPr>
        <u/>
        <sz val="10"/>
        <rFont val="Century Gothic"/>
        <family val="2"/>
      </rPr>
      <t xml:space="preserve">Urban Maintenance:
</t>
    </r>
    <r>
      <rPr>
        <sz val="10"/>
        <rFont val="Century Gothic"/>
        <family val="2"/>
      </rPr>
      <t>Minor maintenance of City infrastructure (partially or fully funded by the CID) e.g. replacement of a street sign pole, painting of electrical boxes, road markings, etc.  Must first engage with City departments.  Removal of graffiti, illegal posters and stickers.</t>
    </r>
  </si>
  <si>
    <r>
      <rPr>
        <b/>
        <sz val="12"/>
        <rFont val="Century Gothic"/>
        <family val="2"/>
      </rPr>
      <t>Depreciation</t>
    </r>
    <r>
      <rPr>
        <b/>
        <sz val="10"/>
        <rFont val="Century Gothic"/>
        <family val="2"/>
      </rPr>
      <t xml:space="preserve"> </t>
    </r>
    <r>
      <rPr>
        <sz val="10"/>
        <rFont val="Century Gothic"/>
        <family val="2"/>
      </rPr>
      <t>(See worksheet for depreciation calculation)</t>
    </r>
    <r>
      <rPr>
        <b/>
        <sz val="10"/>
        <rFont val="Century Gothic"/>
        <family val="2"/>
      </rPr>
      <t xml:space="preserve">: </t>
    </r>
  </si>
  <si>
    <r>
      <t xml:space="preserve">Depreciation is the systematic allocation of the cost of an asset from the Statement of Financial Position to Depreciation Expense on the Statement of Financial Performance over the useful life of the asset.  
All assets (property, plant and equipment - PPE) must have budgeted depreciation taking into account that assets will only start depreciating when they become operational. Depreciation must also be budgeted for all existing assets as recorded in the Annual Financial Statements.  Depreciation must be realistic and in line with the assets useful life.
Assets donated to the CID also attract depreciation.
</t>
    </r>
    <r>
      <rPr>
        <u/>
        <sz val="10"/>
        <rFont val="Century Gothic"/>
        <family val="2"/>
      </rPr>
      <t>Please consult with the CID's accountant for accurate depreciation figures to be recorded monthly to ensure it corresponds with what is recorded in the Annual Financial Statements.</t>
    </r>
  </si>
  <si>
    <r>
      <t xml:space="preserve">Example:
</t>
    </r>
    <r>
      <rPr>
        <sz val="10"/>
        <rFont val="Century Gothic"/>
        <family val="2"/>
      </rPr>
      <t>CID plans to install CCTV cameras and therefore makes a budget provision of R100 000 in Year 1 of the 5 year budget.</t>
    </r>
  </si>
  <si>
    <t xml:space="preserve">CID`s Accounting policy states that CCTV cameras have a useful life of 5 years. </t>
  </si>
  <si>
    <t>Annual depreciation (Acquisition Value divided by the useful life) = R100 000 / 5 = R20 000</t>
  </si>
  <si>
    <t>CID plans for the CCTV cameras to become operational in March which leave 3 months of depreciation to budget for in 
Year 1: R20 000 / 12 x 3  = R5 000</t>
  </si>
  <si>
    <t>Year 2 = R20 000</t>
  </si>
  <si>
    <t>Year 3 = R20 000</t>
  </si>
  <si>
    <t>Year 4 = R20 000</t>
  </si>
  <si>
    <t>Year 5 = R20 000</t>
  </si>
  <si>
    <r>
      <t xml:space="preserve">Year 6 = </t>
    </r>
    <r>
      <rPr>
        <u/>
        <sz val="10"/>
        <rFont val="Century Gothic"/>
        <family val="2"/>
      </rPr>
      <t>R15 000</t>
    </r>
  </si>
  <si>
    <t>Acc Depr = R100 000</t>
  </si>
  <si>
    <t xml:space="preserve">In year 3 the CID decides to extend the CCTV camera network with an additional R120 000. Depreciation = R120 000 / 5 = R24 000 per year. </t>
  </si>
  <si>
    <t xml:space="preserve">CID plans for the additional CCTV cameras to become operational in December which leave 6 months of depreciation to budget for in year 1 of the asset but year 3 of the CID`s 5 year budget: R24 000 / 12 x 6 = R12 000
Depreciation budget now looks like this:  </t>
  </si>
  <si>
    <t>Year 1: R5 000</t>
  </si>
  <si>
    <t>Year 2: R20 000</t>
  </si>
  <si>
    <t>Year 3: R20 000 + R12 000 = R32 000</t>
  </si>
  <si>
    <t>Year 4: R20 000 + R24 000 = R44 000</t>
  </si>
  <si>
    <t>Year 5: R20 000 + R24 000 = R44 000</t>
  </si>
  <si>
    <t>Year 6: R15 000 + R24 000 = R39 000</t>
  </si>
  <si>
    <t>Year 7: R24 000</t>
  </si>
  <si>
    <r>
      <t>Year 8:</t>
    </r>
    <r>
      <rPr>
        <u/>
        <sz val="10"/>
        <rFont val="Century Gothic"/>
        <family val="2"/>
      </rPr>
      <t xml:space="preserve"> R12000</t>
    </r>
  </si>
  <si>
    <t>Acc Depr = R220 000</t>
  </si>
  <si>
    <r>
      <rPr>
        <b/>
        <i/>
        <u/>
        <sz val="10"/>
        <rFont val="Century Gothic"/>
        <family val="2"/>
      </rPr>
      <t>Note</t>
    </r>
    <r>
      <rPr>
        <i/>
        <u/>
        <sz val="10"/>
        <rFont val="Century Gothic"/>
        <family val="2"/>
      </rPr>
      <t>:</t>
    </r>
    <r>
      <rPr>
        <i/>
        <sz val="10"/>
        <rFont val="Century Gothic"/>
        <family val="2"/>
      </rPr>
      <t xml:space="preserve"> The surplus funds generated through depreciation must be used for the replacement of those assets in the future. </t>
    </r>
  </si>
  <si>
    <t>Repairs and Maintenance:</t>
  </si>
  <si>
    <t>This budget provision is for repairs and maintenance of all CID assets (or hired offices if contractually bound) and not for repairs and maintenance of City infrastructure or any other assets that don’t belong to the CID.</t>
  </si>
  <si>
    <t>Interest and Redemption:</t>
  </si>
  <si>
    <t xml:space="preserve">If the CID plans to fund the purchasing of assets through a finance lease or any other long term loan, the interest and redemption is budgeted for in this category. </t>
  </si>
  <si>
    <t>General Expenditure:</t>
  </si>
  <si>
    <t xml:space="preserve">All other planned operating expenditure must be reflected in this category. Budget amounts must be broken down per line item and not shown as globular amounts. This improves transparency and allows for better reporting and oversight. </t>
  </si>
  <si>
    <t>Accounting fees</t>
  </si>
  <si>
    <t>Service provider performing the accounting functions of the CID up to and including the preparation of the Annual Financial Statements</t>
  </si>
  <si>
    <t>Administration and management fees</t>
  </si>
  <si>
    <t>Service provider performing the administrative and management functions of the CID</t>
  </si>
  <si>
    <t>Advertising costs</t>
  </si>
  <si>
    <t>All advertising costs e.g. Adverts for AGMs, public meetings etc.</t>
  </si>
  <si>
    <t>Auditor's remuneration</t>
  </si>
  <si>
    <t>Audit Company performing the audit of the Annual Financial Statements</t>
  </si>
  <si>
    <t>Bank charges</t>
  </si>
  <si>
    <t>Monthly bank charges relating to transactions in the CIDs bank account</t>
  </si>
  <si>
    <t>Books, periodicals &amp; subscriptions</t>
  </si>
  <si>
    <t>The cost of subscriptions iro publications, newsletters, books and magazines for official use. Excludes subscriptions to Internet and Professional bodies. Include the purchase of reference and library books.</t>
  </si>
  <si>
    <t>Catering &amp; Food</t>
  </si>
  <si>
    <t>Catering for official meetings</t>
  </si>
  <si>
    <t>Cleaning costs</t>
  </si>
  <si>
    <t>Cost incurred for cleaning services (Including cleaning of offices). This includes costs of relevant materials used in general cleaning tasks as well as all COVID related cleaning materials e.g. sanitiser, bleach, disinfectant etc. Note: Costs relating to protective gear, for example masks, gloves etc. should be recorded under Protective Clothing.</t>
  </si>
  <si>
    <t>Communication</t>
  </si>
  <si>
    <t>Cost incurred for printing and distribution of newsletters.</t>
  </si>
  <si>
    <t>Computer expenses</t>
  </si>
  <si>
    <t>For costs relating to software licences and software upgrade protection, internet connection, CID website and social media pages</t>
  </si>
  <si>
    <t>Conferences &amp; seminars - International</t>
  </si>
  <si>
    <t>Fees paid for the attendance of international congresses/seminars/symposiums and workshops. Excludes accommodation and transport which must be allocated to travelling and subsistence</t>
  </si>
  <si>
    <t>Conferences &amp; seminars - National</t>
  </si>
  <si>
    <t>Fees paid for the attendance of national congresses/seminars/symposiums and workshops. Excludes accommodation and transport which must be allocated to travelling and subsistence</t>
  </si>
  <si>
    <t xml:space="preserve">Contingency / Sundry </t>
  </si>
  <si>
    <t>For unforeseen expenses e.g. paying for ID documents of homeless people in the area or travel expenses iro reuniting people with their families.</t>
  </si>
  <si>
    <t>Donations</t>
  </si>
  <si>
    <t>Reserved for donations to organisations who provide a service in the CID area only</t>
  </si>
  <si>
    <t>Insurance</t>
  </si>
  <si>
    <t>This is a requirement and should also include public liability and Indemnity insurance</t>
  </si>
  <si>
    <t>Lease rental on equipment</t>
  </si>
  <si>
    <t>Costs related to the leasing of equipment</t>
  </si>
  <si>
    <t>Legal Services</t>
  </si>
  <si>
    <t>Costs incurred relating to the instituting and/or opposing of any legal proceedings as may be required, inter alia, to comply with the CID Company’s statutory and/or contractual obligations.</t>
  </si>
  <si>
    <t>Marketing and promotions</t>
  </si>
  <si>
    <t>For costs relating to the marketing and promoting of the CID e.g. printing of booklets, posters, agency fees etc.</t>
  </si>
  <si>
    <t>Meeting expenses</t>
  </si>
  <si>
    <t>Expenses for meetings held e.g. venue hire, equipment hire, etc. EXCLUDES Catering</t>
  </si>
  <si>
    <t>Minor tools &amp; equipment</t>
  </si>
  <si>
    <t>For the purchasing of small plant and equipment e.g. spades, rakes, brooms, etc.</t>
  </si>
  <si>
    <t>Motor vehicle expenses</t>
  </si>
  <si>
    <t>Servicing of vehicles, tyres, incl. fuel costs e.g. paid to a garage</t>
  </si>
  <si>
    <t>Office rental</t>
  </si>
  <si>
    <t>Rent for use of office space</t>
  </si>
  <si>
    <t>Office security</t>
  </si>
  <si>
    <t xml:space="preserve">Cost incurred relating to safeguarding and access control of facilities, for example armed response provided by ADT, Chubb or other(s) and security services for example reception or motor entrances access </t>
  </si>
  <si>
    <t>Postage &amp; courier</t>
  </si>
  <si>
    <t>The cost incurred iro of the distribution of post/parcels. Cost of stamps and franking machine usage. Rent of Private Bag and postal box. Folding of invoices. Also includes courier charges for parcels, plans etc.</t>
  </si>
  <si>
    <t>Printing / stationery / photographic</t>
  </si>
  <si>
    <t>The purchasing of stationery, cost of reproduction/printing externally. Photographic expenditure i.e. films, printing, videos, etc</t>
  </si>
  <si>
    <t>Protective clothing</t>
  </si>
  <si>
    <t>Uniform and Protective clothing purchased for issue to employees e.g. bibs, masks, gloves etc. (Not for the staff of service providers).</t>
  </si>
  <si>
    <t>Rates and Service Accounts (only CCT)</t>
  </si>
  <si>
    <t>Rates and Services due to the City iro municipal properties e.g. paying the City for pre-paid electricity.</t>
  </si>
  <si>
    <t>Refreshments and Teas (previously Staff welfare)</t>
  </si>
  <si>
    <t>Provision of refreshments, tea and coffee for staff and visitors to CID offices.</t>
  </si>
  <si>
    <t>SARS - Income Tax</t>
  </si>
  <si>
    <r>
      <t xml:space="preserve">This line item is reserved for payments made to SARS iro income tax (excludes penalties and fines which will be dealt with ito the Finance Agreement iro Fruitless and Wasteful expenditure).
</t>
    </r>
    <r>
      <rPr>
        <u/>
        <sz val="10"/>
        <color theme="1"/>
        <rFont val="Century Gothic"/>
        <family val="2"/>
      </rPr>
      <t xml:space="preserve">Interest, Fines and Penalties </t>
    </r>
    <r>
      <rPr>
        <sz val="10"/>
        <color theme="1"/>
        <rFont val="Century Gothic"/>
        <family val="2"/>
      </rPr>
      <t>due to SARS will be deemed fruitless and wasteful expenditure.  In order to pay these the CID must request the CID Department to create a new line item.  This will require a motivation and approval from the board together with a reason/s for incurring this expenditure.</t>
    </r>
  </si>
  <si>
    <t>Secretarial duties</t>
  </si>
  <si>
    <t>Making use of agency staff or outsourced staff for secretarial services.  Costs relating to CIPC can also be recorded here. (e.g. annual returns, changes in directors, auditors, etc.)</t>
  </si>
  <si>
    <t>Telecommunication</t>
  </si>
  <si>
    <t>Payments for the use of telephones, faxes, telegraphs and telex for communication purposes, including costs for teleconferences. Payments include all costs for the usage of telecommunication line and related infrastructure.</t>
  </si>
  <si>
    <t>Training</t>
  </si>
  <si>
    <t>The cost of external training courses including training and development material, excluding bursaries.</t>
  </si>
  <si>
    <t>Travel &amp; subs - International</t>
  </si>
  <si>
    <t>Expenditure on air transport for employees travelling internationally to attend conferences, meetings and other official purposes incl. refunds to employees for these purposes.</t>
  </si>
  <si>
    <t>Travel &amp; subs - National</t>
  </si>
  <si>
    <t>Expenditure on employees travelling domestically with own transport to attend the CID Forum, conferences, meetings and other official purposes incl. refunds to employees for these purposes.</t>
  </si>
  <si>
    <t>Utilities (not CCT)</t>
  </si>
  <si>
    <t>Paid to a third party and not directly to the City e.g. Electricity, water, etc.</t>
  </si>
  <si>
    <t>Projects:</t>
  </si>
  <si>
    <t xml:space="preserve">All projects are budgeted for under this category. Projects have limited life spans with a start date and an end date. Creating a bulk provision for projects is not allowed. All projects must be specified separately to ensure implementation can be measured. </t>
  </si>
  <si>
    <t>Capital Expenditure (PPE):</t>
  </si>
  <si>
    <t>All property plant and equipment. If the CID plans to buy or build an asset during the financial year it must be budgeted for in this category. All capital expenditure(PPE) is part of the CID’s Balance Sheet and will attract depreciation.  See depreciation calculation worksheete for asset classes.</t>
  </si>
  <si>
    <t>Note: When purchasing UPS / Inverters the batteries can be budgeted for under Projects as these need replacing within an undetermined period.  The actual UPS / Inverter can however be capitalised and should therefore be depreciated over its useful life.</t>
  </si>
  <si>
    <t xml:space="preserve">Provision for Bad Debt: </t>
  </si>
  <si>
    <t xml:space="preserve">City retains 3% of the CID budget as a rolling bad debt reserve. This is calculated automatically and has no impact on the CID`s ability to deliver services. Annually in September after the audit has been completed the arrears position is compared with the amount retained as a rolling bad debt reserve and if the provision exceeds the arrears, 75% of the difference may be refunded to the CID as additional income. </t>
  </si>
  <si>
    <t>NOTE:</t>
  </si>
  <si>
    <t>Offsetting</t>
  </si>
  <si>
    <t xml:space="preserve">In terms of General Recognised Accounting Practice – Standard 1(GRAP 1) which was developed from the International Financial Reporting Standards (IFRS), no offsetting is allowed.  Income must be recognised separately in the budget if it is going to be used for the funding of expenditure. </t>
  </si>
  <si>
    <t>MUIZENBERG IMPROVEMENT DISTRICT</t>
  </si>
  <si>
    <t>5 YEAR BUDGET AS PER BUSINESS PLAN</t>
  </si>
  <si>
    <t>2025/26</t>
  </si>
  <si>
    <t>2026/27</t>
  </si>
  <si>
    <t>2027/28</t>
  </si>
  <si>
    <t>2028/29</t>
  </si>
  <si>
    <t>2029/30</t>
  </si>
  <si>
    <t>R</t>
  </si>
  <si>
    <t xml:space="preserve"> </t>
  </si>
  <si>
    <t>Income from Additional Rates</t>
  </si>
  <si>
    <t xml:space="preserve">Other: Accumulated Surplus </t>
  </si>
  <si>
    <t>Other: Sponsorships|Parking|Donation|etc.</t>
  </si>
  <si>
    <t>Other Income: Specify</t>
  </si>
  <si>
    <t>TOTAL INCOME</t>
  </si>
  <si>
    <t>Employee Related</t>
  </si>
  <si>
    <t>Salaries and Wages</t>
  </si>
  <si>
    <t>PAYE, UIF &amp; SDL</t>
  </si>
  <si>
    <t>Allowances: Locomotion</t>
  </si>
  <si>
    <t>COIDA</t>
  </si>
  <si>
    <t>Bonus</t>
  </si>
  <si>
    <t>Core Business</t>
  </si>
  <si>
    <t>Cleansing services</t>
  </si>
  <si>
    <t>Environmental upgrading</t>
  </si>
  <si>
    <t>Law Enforcement Officers / Traffic Wardens</t>
  </si>
  <si>
    <t>Please amend to the confirmed costing received from LLEO</t>
  </si>
  <si>
    <t>Public Safety</t>
  </si>
  <si>
    <t>Done - in order to cater for this increase have reducet the following</t>
  </si>
  <si>
    <t>Public Safety - CCTV monitoring</t>
  </si>
  <si>
    <t xml:space="preserve"> - Public Safety</t>
  </si>
  <si>
    <t>Public Safety - CCTV - Leasing of cameras</t>
  </si>
  <si>
    <t>Social upliftment</t>
  </si>
  <si>
    <t xml:space="preserve"> - Catering &amp; Food - removed from budget</t>
  </si>
  <si>
    <t>Urban Maintenance</t>
  </si>
  <si>
    <t>Depreciation</t>
  </si>
  <si>
    <t xml:space="preserve"> - Contingencies </t>
  </si>
  <si>
    <t>Repairs &amp; Maintenance</t>
  </si>
  <si>
    <t>Interest &amp; Redemption (Finance Lease)</t>
  </si>
  <si>
    <t>General Expenditure</t>
  </si>
  <si>
    <r>
      <t xml:space="preserve">Cleaning costs </t>
    </r>
    <r>
      <rPr>
        <i/>
        <sz val="11"/>
        <rFont val="Century Gothic"/>
        <family val="2"/>
      </rPr>
      <t>(previously Office Cleaning Costs)</t>
    </r>
  </si>
  <si>
    <t>Do you not rent offices for operations</t>
  </si>
  <si>
    <t xml:space="preserve"> - no agreement to share space</t>
  </si>
  <si>
    <t>Rates &amp; Service Accounts (only CCT)</t>
  </si>
  <si>
    <t>Refreshments and Teas</t>
  </si>
  <si>
    <t>Projects</t>
  </si>
  <si>
    <t>Ad hoc environmental projects</t>
  </si>
  <si>
    <t>Marketing Project</t>
  </si>
  <si>
    <t>Provide Detail</t>
  </si>
  <si>
    <t>Capital Expenditure (PPE)</t>
  </si>
  <si>
    <t>CCTV / LPR Cameras</t>
  </si>
  <si>
    <t>Computer Equipment</t>
  </si>
  <si>
    <t>Fence / Wall</t>
  </si>
  <si>
    <t>Office Equipment</t>
  </si>
  <si>
    <t xml:space="preserve">Office Furniture </t>
  </si>
  <si>
    <t>Plant and Equipment</t>
  </si>
  <si>
    <t>Radio Equipment</t>
  </si>
  <si>
    <t>Vehicles</t>
  </si>
  <si>
    <t>Other: Specify</t>
  </si>
  <si>
    <t>Bad Debt Provision 3%</t>
  </si>
  <si>
    <t>TOTAL EXPENDITURE</t>
  </si>
  <si>
    <t>(SURPLUS) / SHORTFALL</t>
  </si>
  <si>
    <t>GROWTH: EXPENDITURE</t>
  </si>
  <si>
    <t>How do you plan to justify the 30% increase? Will you be able to sell the idea. Can you consider a decrease?</t>
  </si>
  <si>
    <t>GROWTH: ADD RATES REQUIRED</t>
  </si>
  <si>
    <t>Income from Additional Rates for 2024/25</t>
  </si>
  <si>
    <t>Total Expenditure Budget for 2024/25</t>
  </si>
  <si>
    <t>PROPOSED BUDGET</t>
  </si>
  <si>
    <t>As per Business Plan</t>
  </si>
  <si>
    <t>Proposed Budget</t>
  </si>
  <si>
    <t>Variance</t>
  </si>
  <si>
    <t>Cleaning costs (previously Office Cleaning Costs)</t>
  </si>
  <si>
    <t>PROPOSED UTILISATION OF ACCUMULATED SURPLUS</t>
  </si>
  <si>
    <t>1.</t>
  </si>
  <si>
    <t>Additional Marketing</t>
  </si>
  <si>
    <t>Specify Project</t>
  </si>
  <si>
    <t>2.</t>
  </si>
  <si>
    <t>Specify Other</t>
  </si>
  <si>
    <t>Do not delete these formulas</t>
  </si>
  <si>
    <t>Depreciation of PPE Assets</t>
  </si>
  <si>
    <t>Year in which asset becomes operational</t>
  </si>
  <si>
    <t>Description of Asset</t>
  </si>
  <si>
    <t>Asset Class
(See Legend below)</t>
  </si>
  <si>
    <t>Cost</t>
  </si>
  <si>
    <t>Year 1 Dep</t>
  </si>
  <si>
    <t>Year 2 Dep</t>
  </si>
  <si>
    <t>Year 3 Dep</t>
  </si>
  <si>
    <t>Year 4 Dep</t>
  </si>
  <si>
    <t>Year 5 Dep</t>
  </si>
  <si>
    <t>Total</t>
  </si>
  <si>
    <t>Remains</t>
  </si>
  <si>
    <t>Per yr</t>
  </si>
  <si>
    <t>Useful Life</t>
  </si>
  <si>
    <t>per month</t>
  </si>
  <si>
    <t>Year 1</t>
  </si>
  <si>
    <t>Year 2</t>
  </si>
  <si>
    <t>Year 3</t>
  </si>
  <si>
    <t>Year 4</t>
  </si>
  <si>
    <t>Year 5</t>
  </si>
  <si>
    <t>LIFESPAN OF ASSETS:</t>
  </si>
  <si>
    <t>Asset Class</t>
  </si>
  <si>
    <t>Useful Life
(Years)</t>
  </si>
  <si>
    <t>Computer Hardware</t>
  </si>
  <si>
    <t>3-5</t>
  </si>
  <si>
    <t>Computer Software</t>
  </si>
  <si>
    <t>Furniture</t>
  </si>
  <si>
    <t>5-10</t>
  </si>
  <si>
    <t>Cameras - CCTV</t>
  </si>
  <si>
    <t>Cameras - LPR</t>
  </si>
  <si>
    <t>Equipment - Office</t>
  </si>
  <si>
    <t>Fence</t>
  </si>
  <si>
    <t>Motor Vehicle</t>
  </si>
  <si>
    <t>Communication Equipment</t>
  </si>
  <si>
    <t>Security Hut</t>
  </si>
  <si>
    <t>Security Trailer</t>
  </si>
  <si>
    <t>7-10</t>
  </si>
  <si>
    <t>Containers</t>
  </si>
  <si>
    <t>15-20</t>
  </si>
  <si>
    <t>Boundary Wall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</si>
</sst>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R&quot;* #,##0.00_-;\-&quot;R&quot;* #,##0.00_-;_-&quot;R&quot;* &quot;-&quot;??_-;_-@_-"/>
    <numFmt numFmtId="165" formatCode="_ * #,##0_ ;_ * \-#,##0_ ;_ * &quot;-&quot;_ ;_ @_ "/>
    <numFmt numFmtId="166" formatCode="_ * #,##0.00_ ;_ * \-#,##0.00_ ;_ * &quot;-&quot;??_ ;_ @_ "/>
    <numFmt numFmtId="167" formatCode="0.0%"/>
    <numFmt numFmtId="168" formatCode="_ * #,##0_ ;_ * \-#,##0_ ;_ * &quot;-&quot;??_ ;_ @_ "/>
    <numFmt numFmtId="169" formatCode="_-[$R-1C09]* #,##0.00_-;\-[$R-1C09]* #,##0.00_-;_-[$R-1C09]* &quot;-&quot;??_-;_-@_-"/>
  </numFmts>
  <fonts count="37">
    <font>
      <sz val="10"/>
      <name val="Arial"/>
    </font>
    <font>
      <sz val="10"/>
      <name val="Arial"/>
      <family val="2"/>
    </font>
    <font>
      <sz val="10"/>
      <name val="Century Gothic"/>
      <family val="2"/>
    </font>
    <font>
      <sz val="7"/>
      <name val="Times New Roman"/>
      <family val="1"/>
    </font>
    <font>
      <u/>
      <sz val="10"/>
      <name val="Century Gothic"/>
      <family val="2"/>
    </font>
    <font>
      <sz val="10"/>
      <name val="Symbol"/>
      <family val="1"/>
      <charset val="2"/>
    </font>
    <font>
      <b/>
      <sz val="12"/>
      <name val="Century Gothic"/>
      <family val="2"/>
    </font>
    <font>
      <b/>
      <u/>
      <sz val="12"/>
      <name val="Century Gothic"/>
      <family val="2"/>
    </font>
    <font>
      <sz val="12"/>
      <name val="Century Gothic"/>
      <family val="2"/>
    </font>
    <font>
      <b/>
      <sz val="16"/>
      <name val="Century Gothic"/>
      <family val="2"/>
    </font>
    <font>
      <b/>
      <u/>
      <sz val="16"/>
      <name val="Century Gothic"/>
      <family val="2"/>
    </font>
    <font>
      <b/>
      <sz val="14"/>
      <name val="Century Gothic"/>
      <family val="2"/>
    </font>
    <font>
      <b/>
      <sz val="20"/>
      <name val="Century Gothic"/>
      <family val="2"/>
    </font>
    <font>
      <sz val="14"/>
      <name val="Century Gothic"/>
      <family val="2"/>
    </font>
    <font>
      <sz val="11"/>
      <name val="Century Gothic"/>
      <family val="2"/>
    </font>
    <font>
      <b/>
      <sz val="10"/>
      <name val="Century Gothic"/>
      <family val="2"/>
    </font>
    <font>
      <b/>
      <sz val="11"/>
      <name val="Century Gothic"/>
      <family val="2"/>
    </font>
    <font>
      <i/>
      <sz val="11"/>
      <name val="Century Gothic"/>
      <family val="2"/>
    </font>
    <font>
      <b/>
      <sz val="28"/>
      <name val="Century Gothic"/>
      <family val="2"/>
    </font>
    <font>
      <i/>
      <sz val="10"/>
      <name val="Century Gothic"/>
      <family val="2"/>
    </font>
    <font>
      <b/>
      <i/>
      <u/>
      <sz val="10"/>
      <name val="Century Gothic"/>
      <family val="2"/>
    </font>
    <font>
      <b/>
      <sz val="24"/>
      <name val="Century Gothic"/>
      <family val="2"/>
    </font>
    <font>
      <b/>
      <u/>
      <sz val="10"/>
      <name val="Arial"/>
      <family val="2"/>
    </font>
    <font>
      <i/>
      <u/>
      <sz val="12"/>
      <name val="Century Gothic"/>
      <family val="2"/>
    </font>
    <font>
      <sz val="10"/>
      <color theme="1"/>
      <name val="Century Gothic"/>
      <family val="2"/>
    </font>
    <font>
      <b/>
      <sz val="10"/>
      <color theme="1"/>
      <name val="Century Gothic"/>
      <family val="2"/>
    </font>
    <font>
      <b/>
      <sz val="10"/>
      <color rgb="FFFF0000"/>
      <name val="Century Gothic"/>
      <family val="2"/>
    </font>
    <font>
      <b/>
      <u/>
      <sz val="12"/>
      <color theme="1"/>
      <name val="Century Gothic"/>
      <family val="2"/>
    </font>
    <font>
      <b/>
      <u/>
      <sz val="10"/>
      <color theme="1"/>
      <name val="Century Gothic"/>
      <family val="2"/>
    </font>
    <font>
      <b/>
      <u/>
      <sz val="10"/>
      <name val="Century Gothic"/>
      <family val="2"/>
    </font>
    <font>
      <b/>
      <sz val="10"/>
      <color rgb="FFFF0000"/>
      <name val="Arial"/>
      <family val="2"/>
    </font>
    <font>
      <b/>
      <u/>
      <sz val="14"/>
      <name val="Century Gothic"/>
      <family val="2"/>
    </font>
    <font>
      <b/>
      <sz val="14"/>
      <name val="Arial"/>
      <family val="2"/>
    </font>
    <font>
      <b/>
      <sz val="18"/>
      <name val="Century Gothic"/>
      <family val="2"/>
    </font>
    <font>
      <b/>
      <i/>
      <sz val="10"/>
      <name val="Century Gothic"/>
      <family val="2"/>
    </font>
    <font>
      <i/>
      <u/>
      <sz val="10"/>
      <name val="Century Gothic"/>
      <family val="2"/>
    </font>
    <font>
      <u/>
      <sz val="10"/>
      <color theme="1"/>
      <name val="Century Gothic"/>
      <family val="2"/>
    </font>
  </fonts>
  <fills count="4">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s>
  <borders count="28">
    <border>
      <left/>
      <right/>
      <top/>
      <bottom/>
      <diagonal/>
    </border>
    <border>
      <left/>
      <right/>
      <top style="medium">
        <color indexed="64"/>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double">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3">
    <xf numFmtId="0" fontId="0" fillId="0" borderId="0"/>
    <xf numFmtId="166" fontId="1" fillId="0" borderId="0" applyFont="0" applyFill="0" applyBorder="0" applyAlignment="0" applyProtection="0"/>
    <xf numFmtId="9" fontId="1" fillId="0" borderId="0" applyFont="0" applyFill="0" applyBorder="0" applyAlignment="0" applyProtection="0"/>
  </cellStyleXfs>
  <cellXfs count="251">
    <xf numFmtId="0" fontId="0" fillId="0" borderId="0" xfId="0"/>
    <xf numFmtId="0" fontId="8" fillId="0" borderId="0" xfId="0" applyFont="1" applyAlignment="1">
      <alignment horizontal="left" vertical="top" wrapText="1"/>
    </xf>
    <xf numFmtId="0" fontId="5" fillId="0" borderId="0" xfId="0" applyFont="1" applyAlignment="1">
      <alignment horizontal="left" vertical="top" wrapText="1"/>
    </xf>
    <xf numFmtId="0" fontId="2" fillId="0" borderId="0" xfId="0" applyFont="1"/>
    <xf numFmtId="0" fontId="11" fillId="0" borderId="0" xfId="0" applyFont="1" applyAlignment="1">
      <alignment horizontal="center"/>
    </xf>
    <xf numFmtId="0" fontId="11" fillId="0" borderId="0" xfId="0" applyFont="1" applyAlignment="1">
      <alignment horizontal="left"/>
    </xf>
    <xf numFmtId="0" fontId="2" fillId="0" borderId="13" xfId="0" applyFont="1" applyBorder="1"/>
    <xf numFmtId="0" fontId="2" fillId="0" borderId="3" xfId="0" applyFont="1" applyBorder="1"/>
    <xf numFmtId="3" fontId="14" fillId="0" borderId="2" xfId="0" applyNumberFormat="1" applyFont="1" applyBorder="1"/>
    <xf numFmtId="3" fontId="14" fillId="0" borderId="0" xfId="0" applyNumberFormat="1" applyFont="1"/>
    <xf numFmtId="0" fontId="14" fillId="0" borderId="0" xfId="0" applyFont="1"/>
    <xf numFmtId="0" fontId="6" fillId="0" borderId="0" xfId="0" applyFont="1"/>
    <xf numFmtId="167" fontId="16" fillId="0" borderId="2" xfId="2" applyNumberFormat="1" applyFont="1" applyBorder="1" applyProtection="1"/>
    <xf numFmtId="0" fontId="11" fillId="0" borderId="0" xfId="0" applyFont="1"/>
    <xf numFmtId="0" fontId="15" fillId="0" borderId="3" xfId="0" applyFont="1" applyBorder="1"/>
    <xf numFmtId="3" fontId="16" fillId="0" borderId="0" xfId="0" applyNumberFormat="1" applyFont="1"/>
    <xf numFmtId="0" fontId="2" fillId="0" borderId="1" xfId="0" applyFont="1" applyBorder="1"/>
    <xf numFmtId="167" fontId="16" fillId="0" borderId="2" xfId="0" applyNumberFormat="1" applyFont="1" applyBorder="1"/>
    <xf numFmtId="0" fontId="14" fillId="0" borderId="0" xfId="0" applyFont="1" applyAlignment="1">
      <alignment vertical="top" wrapText="1"/>
    </xf>
    <xf numFmtId="0" fontId="14" fillId="0" borderId="0" xfId="0" applyFont="1" applyAlignment="1">
      <alignment wrapText="1"/>
    </xf>
    <xf numFmtId="0" fontId="15" fillId="0" borderId="0" xfId="0" applyFont="1"/>
    <xf numFmtId="165" fontId="14" fillId="0" borderId="0" xfId="1" applyNumberFormat="1" applyFont="1" applyFill="1" applyBorder="1" applyAlignment="1" applyProtection="1">
      <alignment horizontal="right" vertical="center" indent="1"/>
      <protection locked="0"/>
    </xf>
    <xf numFmtId="0" fontId="17" fillId="0" borderId="0" xfId="0" applyFont="1"/>
    <xf numFmtId="165" fontId="16" fillId="0" borderId="12" xfId="1" applyNumberFormat="1" applyFont="1" applyFill="1" applyBorder="1" applyAlignment="1" applyProtection="1">
      <alignment horizontal="right" vertical="center" indent="1"/>
    </xf>
    <xf numFmtId="167" fontId="16" fillId="0" borderId="6" xfId="0" applyNumberFormat="1" applyFont="1" applyBorder="1"/>
    <xf numFmtId="0" fontId="2" fillId="0" borderId="4" xfId="0" applyFont="1" applyBorder="1"/>
    <xf numFmtId="0" fontId="14" fillId="0" borderId="5" xfId="0" applyFont="1" applyBorder="1"/>
    <xf numFmtId="0" fontId="4" fillId="0" borderId="0" xfId="0" applyFont="1" applyAlignment="1">
      <alignment horizontal="left" vertical="top" wrapText="1"/>
    </xf>
    <xf numFmtId="0" fontId="1" fillId="0" borderId="0" xfId="0" applyFont="1"/>
    <xf numFmtId="166" fontId="0" fillId="0" borderId="0" xfId="1" applyFont="1"/>
    <xf numFmtId="0" fontId="2" fillId="0" borderId="0" xfId="0" applyFont="1" applyAlignment="1">
      <alignment horizontal="left" vertical="top" wrapText="1"/>
    </xf>
    <xf numFmtId="165" fontId="16" fillId="0" borderId="0" xfId="1" applyNumberFormat="1" applyFont="1" applyFill="1" applyBorder="1" applyAlignment="1" applyProtection="1">
      <alignment horizontal="right" vertical="center" indent="1"/>
    </xf>
    <xf numFmtId="167" fontId="16" fillId="0" borderId="2" xfId="2" applyNumberFormat="1" applyFont="1" applyBorder="1" applyAlignment="1" applyProtection="1">
      <alignment vertical="top"/>
    </xf>
    <xf numFmtId="0" fontId="7" fillId="0" borderId="0" xfId="0" applyFont="1" applyAlignment="1">
      <alignment horizontal="left" vertical="top" wrapText="1"/>
    </xf>
    <xf numFmtId="0" fontId="19" fillId="0" borderId="0" xfId="0" applyFont="1" applyAlignment="1">
      <alignment horizontal="left" vertical="top" wrapText="1"/>
    </xf>
    <xf numFmtId="0" fontId="1" fillId="0" borderId="0" xfId="0" applyFont="1" applyAlignment="1">
      <alignment horizontal="left" vertical="top" wrapText="1"/>
    </xf>
    <xf numFmtId="0" fontId="10" fillId="0" borderId="0" xfId="0" applyFont="1" applyAlignment="1">
      <alignment horizontal="left" vertical="top" wrapText="1"/>
    </xf>
    <xf numFmtId="0" fontId="9" fillId="0" borderId="0" xfId="0" applyFont="1" applyAlignment="1">
      <alignment horizontal="left" vertical="top" wrapText="1"/>
    </xf>
    <xf numFmtId="0" fontId="0" fillId="0" borderId="0" xfId="0" applyAlignment="1">
      <alignment horizontal="left" vertical="top" wrapText="1"/>
    </xf>
    <xf numFmtId="3" fontId="11" fillId="0" borderId="0" xfId="0" applyNumberFormat="1" applyFont="1" applyAlignment="1">
      <alignment horizontal="center" vertical="top"/>
    </xf>
    <xf numFmtId="2" fontId="11" fillId="0" borderId="2" xfId="0" applyNumberFormat="1" applyFont="1" applyBorder="1" applyAlignment="1">
      <alignment horizontal="center" vertical="top"/>
    </xf>
    <xf numFmtId="165" fontId="14" fillId="0" borderId="0" xfId="1" applyNumberFormat="1" applyFont="1" applyFill="1" applyBorder="1" applyAlignment="1" applyProtection="1">
      <alignment horizontal="right" vertical="center" indent="1"/>
    </xf>
    <xf numFmtId="0" fontId="15" fillId="0" borderId="3" xfId="0" applyFont="1" applyBorder="1" applyAlignment="1">
      <alignment vertical="top"/>
    </xf>
    <xf numFmtId="165" fontId="14" fillId="0" borderId="7" xfId="1" applyNumberFormat="1" applyFont="1" applyFill="1" applyBorder="1" applyAlignment="1" applyProtection="1">
      <alignment horizontal="right" vertical="top"/>
    </xf>
    <xf numFmtId="0" fontId="0" fillId="0" borderId="0" xfId="0" applyAlignment="1">
      <alignment vertical="top"/>
    </xf>
    <xf numFmtId="165" fontId="14" fillId="0" borderId="8" xfId="1" applyNumberFormat="1" applyFont="1" applyFill="1" applyBorder="1" applyAlignment="1" applyProtection="1">
      <alignment horizontal="right" vertical="top"/>
    </xf>
    <xf numFmtId="165" fontId="16" fillId="0" borderId="10" xfId="1" applyNumberFormat="1" applyFont="1" applyFill="1" applyBorder="1" applyAlignment="1" applyProtection="1">
      <alignment horizontal="right" vertical="center" indent="1"/>
    </xf>
    <xf numFmtId="165" fontId="14" fillId="0" borderId="1" xfId="1" applyNumberFormat="1" applyFont="1" applyFill="1" applyBorder="1" applyAlignment="1" applyProtection="1">
      <alignment horizontal="right" vertical="center" indent="1"/>
    </xf>
    <xf numFmtId="3" fontId="14" fillId="0" borderId="1" xfId="0" applyNumberFormat="1" applyFont="1" applyBorder="1"/>
    <xf numFmtId="0" fontId="2" fillId="0" borderId="3" xfId="0" applyFont="1" applyBorder="1" applyAlignment="1">
      <alignment horizontal="center"/>
    </xf>
    <xf numFmtId="3" fontId="13" fillId="0" borderId="0" xfId="0" applyNumberFormat="1" applyFont="1"/>
    <xf numFmtId="2" fontId="13" fillId="0" borderId="2" xfId="0" applyNumberFormat="1" applyFont="1" applyBorder="1"/>
    <xf numFmtId="0" fontId="2" fillId="0" borderId="3" xfId="0" applyFont="1" applyBorder="1" applyAlignment="1">
      <alignment vertical="top"/>
    </xf>
    <xf numFmtId="167" fontId="14" fillId="0" borderId="2" xfId="0" applyNumberFormat="1" applyFont="1" applyBorder="1" applyAlignment="1">
      <alignment vertical="top"/>
    </xf>
    <xf numFmtId="167" fontId="14" fillId="0" borderId="2" xfId="0" applyNumberFormat="1" applyFont="1" applyBorder="1"/>
    <xf numFmtId="165" fontId="14" fillId="0" borderId="9" xfId="1" applyNumberFormat="1" applyFont="1" applyFill="1" applyBorder="1" applyAlignment="1" applyProtection="1">
      <alignment horizontal="right" vertical="top"/>
    </xf>
    <xf numFmtId="165" fontId="14" fillId="0" borderId="11" xfId="1" applyNumberFormat="1" applyFont="1" applyFill="1" applyBorder="1" applyAlignment="1" applyProtection="1">
      <alignment horizontal="right" vertical="center" indent="1"/>
    </xf>
    <xf numFmtId="0" fontId="22" fillId="0" borderId="0" xfId="0" applyFont="1" applyAlignment="1">
      <alignment horizontal="left" vertical="top" wrapText="1"/>
    </xf>
    <xf numFmtId="0" fontId="23" fillId="0" borderId="0" xfId="0" applyFont="1" applyAlignment="1">
      <alignment horizontal="left" vertical="top" wrapText="1"/>
    </xf>
    <xf numFmtId="0" fontId="15" fillId="0" borderId="10" xfId="0" applyFont="1" applyBorder="1" applyAlignment="1">
      <alignment horizontal="left" vertical="top" wrapText="1"/>
    </xf>
    <xf numFmtId="0" fontId="24" fillId="0" borderId="0" xfId="0" applyFont="1" applyAlignment="1">
      <alignment horizontal="center" vertical="center" wrapText="1"/>
    </xf>
    <xf numFmtId="0" fontId="24" fillId="0" borderId="0" xfId="0" applyFont="1"/>
    <xf numFmtId="164" fontId="24" fillId="0" borderId="0" xfId="1" applyNumberFormat="1" applyFont="1"/>
    <xf numFmtId="168" fontId="24" fillId="0" borderId="0" xfId="1" applyNumberFormat="1" applyFont="1" applyAlignment="1">
      <alignment horizontal="center" vertical="center" wrapText="1"/>
    </xf>
    <xf numFmtId="0" fontId="25" fillId="0" borderId="14" xfId="0" applyFont="1" applyBorder="1" applyAlignment="1">
      <alignment horizontal="center" vertical="center" wrapText="1"/>
    </xf>
    <xf numFmtId="0" fontId="25" fillId="0" borderId="15" xfId="0" applyFont="1" applyBorder="1" applyAlignment="1">
      <alignment vertical="center"/>
    </xf>
    <xf numFmtId="0" fontId="25" fillId="0" borderId="15" xfId="0" applyFont="1" applyBorder="1" applyAlignment="1">
      <alignment horizontal="center" vertical="center" wrapText="1"/>
    </xf>
    <xf numFmtId="0" fontId="15" fillId="0" borderId="15" xfId="0" applyFont="1" applyBorder="1" applyAlignment="1">
      <alignment vertical="center"/>
    </xf>
    <xf numFmtId="0" fontId="15" fillId="0" borderId="15" xfId="0" applyFont="1" applyBorder="1" applyAlignment="1">
      <alignment horizontal="center" vertical="center"/>
    </xf>
    <xf numFmtId="164" fontId="15" fillId="0" borderId="15" xfId="1" applyNumberFormat="1" applyFont="1" applyFill="1" applyBorder="1" applyAlignment="1">
      <alignment horizontal="center" vertical="center"/>
    </xf>
    <xf numFmtId="168" fontId="15" fillId="0" borderId="16" xfId="1" applyNumberFormat="1" applyFont="1" applyFill="1" applyBorder="1" applyAlignment="1">
      <alignment horizontal="center" vertical="center" wrapText="1"/>
    </xf>
    <xf numFmtId="164" fontId="15" fillId="0" borderId="17" xfId="1" applyNumberFormat="1" applyFont="1" applyFill="1" applyBorder="1" applyAlignment="1">
      <alignment horizontal="center" vertical="center"/>
    </xf>
    <xf numFmtId="0" fontId="25" fillId="0" borderId="0" xfId="0" applyFont="1" applyAlignment="1">
      <alignment vertical="center"/>
    </xf>
    <xf numFmtId="0" fontId="2" fillId="0" borderId="18" xfId="0" applyFont="1" applyBorder="1" applyAlignment="1">
      <alignment horizontal="center" vertical="center" wrapText="1"/>
    </xf>
    <xf numFmtId="0" fontId="2" fillId="2" borderId="8" xfId="0" applyFont="1" applyFill="1" applyBorder="1"/>
    <xf numFmtId="169" fontId="24" fillId="2" borderId="8" xfId="0" applyNumberFormat="1" applyFont="1" applyFill="1" applyBorder="1"/>
    <xf numFmtId="169" fontId="24" fillId="0" borderId="8" xfId="0" applyNumberFormat="1" applyFont="1" applyBorder="1"/>
    <xf numFmtId="164" fontId="24" fillId="0" borderId="8" xfId="1" applyNumberFormat="1" applyFont="1" applyFill="1" applyBorder="1"/>
    <xf numFmtId="1" fontId="24" fillId="2" borderId="19" xfId="1" applyNumberFormat="1" applyFont="1" applyFill="1" applyBorder="1" applyAlignment="1">
      <alignment horizontal="center" vertical="center" wrapText="1"/>
    </xf>
    <xf numFmtId="164" fontId="24" fillId="0" borderId="20" xfId="1" applyNumberFormat="1" applyFont="1" applyFill="1" applyBorder="1"/>
    <xf numFmtId="0" fontId="2" fillId="0" borderId="21" xfId="0" applyFont="1" applyBorder="1" applyAlignment="1">
      <alignment horizontal="center" vertical="center" wrapText="1"/>
    </xf>
    <xf numFmtId="0" fontId="2" fillId="2" borderId="12" xfId="0" applyFont="1" applyFill="1" applyBorder="1"/>
    <xf numFmtId="169" fontId="24" fillId="2" borderId="12" xfId="0" applyNumberFormat="1" applyFont="1" applyFill="1" applyBorder="1"/>
    <xf numFmtId="169" fontId="24" fillId="0" borderId="12" xfId="0" applyNumberFormat="1" applyFont="1" applyBorder="1"/>
    <xf numFmtId="164" fontId="24" fillId="0" borderId="12" xfId="1" applyNumberFormat="1" applyFont="1" applyFill="1" applyBorder="1"/>
    <xf numFmtId="1" fontId="24" fillId="2" borderId="22" xfId="1" applyNumberFormat="1" applyFont="1" applyFill="1" applyBorder="1" applyAlignment="1">
      <alignment horizontal="center" vertical="center" wrapText="1"/>
    </xf>
    <xf numFmtId="164" fontId="24" fillId="0" borderId="23" xfId="1" applyNumberFormat="1" applyFont="1" applyFill="1" applyBorder="1"/>
    <xf numFmtId="0" fontId="24" fillId="0" borderId="21" xfId="0" applyFont="1" applyBorder="1" applyAlignment="1">
      <alignment horizontal="center" vertical="center" wrapText="1"/>
    </xf>
    <xf numFmtId="0" fontId="24" fillId="0" borderId="3" xfId="0" applyFont="1" applyBorder="1" applyAlignment="1">
      <alignment horizontal="center" vertical="center" wrapText="1"/>
    </xf>
    <xf numFmtId="164" fontId="24" fillId="0" borderId="0" xfId="1" applyNumberFormat="1" applyFont="1" applyFill="1" applyBorder="1"/>
    <xf numFmtId="168" fontId="24" fillId="0" borderId="0" xfId="1" applyNumberFormat="1" applyFont="1" applyFill="1" applyBorder="1" applyAlignment="1">
      <alignment horizontal="center" vertical="center" wrapText="1"/>
    </xf>
    <xf numFmtId="164" fontId="24" fillId="0" borderId="2" xfId="1" applyNumberFormat="1" applyFont="1" applyFill="1" applyBorder="1"/>
    <xf numFmtId="169" fontId="15" fillId="0" borderId="24" xfId="0" applyNumberFormat="1" applyFont="1" applyBorder="1"/>
    <xf numFmtId="0" fontId="24" fillId="0" borderId="4" xfId="0" applyFont="1" applyBorder="1" applyAlignment="1">
      <alignment horizontal="center" vertical="center" wrapText="1"/>
    </xf>
    <xf numFmtId="0" fontId="24" fillId="0" borderId="11" xfId="0" applyFont="1" applyBorder="1"/>
    <xf numFmtId="0" fontId="26" fillId="0" borderId="11" xfId="0" applyFont="1" applyBorder="1"/>
    <xf numFmtId="164" fontId="24" fillId="0" borderId="11" xfId="1" applyNumberFormat="1" applyFont="1" applyFill="1" applyBorder="1"/>
    <xf numFmtId="168" fontId="24" fillId="0" borderId="11" xfId="1" applyNumberFormat="1" applyFont="1" applyFill="1" applyBorder="1" applyAlignment="1">
      <alignment horizontal="center" vertical="center" wrapText="1"/>
    </xf>
    <xf numFmtId="164" fontId="24" fillId="0" borderId="5" xfId="1" applyNumberFormat="1" applyFont="1" applyFill="1" applyBorder="1"/>
    <xf numFmtId="0" fontId="26" fillId="0" borderId="0" xfId="0" applyFont="1"/>
    <xf numFmtId="0" fontId="28" fillId="0" borderId="0" xfId="0" applyFont="1"/>
    <xf numFmtId="164" fontId="24" fillId="0" borderId="0" xfId="0" applyNumberFormat="1" applyFont="1" applyAlignment="1">
      <alignment vertical="top" wrapText="1"/>
    </xf>
    <xf numFmtId="0" fontId="24" fillId="0" borderId="0" xfId="0" applyFont="1" applyAlignment="1">
      <alignment vertical="top" wrapText="1"/>
    </xf>
    <xf numFmtId="0" fontId="28" fillId="3" borderId="20" xfId="0" applyFont="1" applyFill="1" applyBorder="1" applyAlignment="1">
      <alignment horizontal="center" wrapText="1"/>
    </xf>
    <xf numFmtId="0" fontId="28" fillId="0" borderId="0" xfId="0" applyFont="1" applyAlignment="1">
      <alignment horizontal="center"/>
    </xf>
    <xf numFmtId="16" fontId="24" fillId="3" borderId="23" xfId="0" quotePrefix="1" applyNumberFormat="1" applyFont="1" applyFill="1" applyBorder="1" applyAlignment="1">
      <alignment horizontal="center"/>
    </xf>
    <xf numFmtId="0" fontId="24" fillId="3" borderId="23" xfId="0" applyFont="1" applyFill="1" applyBorder="1" applyAlignment="1">
      <alignment horizontal="center" vertical="center"/>
    </xf>
    <xf numFmtId="168" fontId="24" fillId="0" borderId="0" xfId="0" applyNumberFormat="1" applyFont="1" applyAlignment="1">
      <alignment horizontal="center" vertical="center" wrapText="1"/>
    </xf>
    <xf numFmtId="0" fontId="24" fillId="3" borderId="23" xfId="0" quotePrefix="1" applyFont="1" applyFill="1" applyBorder="1" applyAlignment="1">
      <alignment horizontal="center"/>
    </xf>
    <xf numFmtId="0" fontId="24" fillId="3" borderId="23" xfId="0" applyFont="1" applyFill="1" applyBorder="1" applyAlignment="1">
      <alignment horizontal="center"/>
    </xf>
    <xf numFmtId="0" fontId="24" fillId="3" borderId="27" xfId="0" applyFont="1" applyFill="1" applyBorder="1" applyAlignment="1">
      <alignment horizontal="center"/>
    </xf>
    <xf numFmtId="0" fontId="15" fillId="0" borderId="0" xfId="0" applyFont="1" applyAlignment="1">
      <alignment horizontal="left" vertical="top" wrapText="1"/>
    </xf>
    <xf numFmtId="0" fontId="29" fillId="0" borderId="0" xfId="0" applyFont="1" applyAlignment="1">
      <alignment horizontal="left" vertical="top" wrapText="1"/>
    </xf>
    <xf numFmtId="0" fontId="30" fillId="0" borderId="0" xfId="0" applyFont="1"/>
    <xf numFmtId="0" fontId="31" fillId="0" borderId="0" xfId="0" applyFont="1" applyAlignment="1">
      <alignment horizontal="left" vertical="top" wrapText="1"/>
    </xf>
    <xf numFmtId="0" fontId="6" fillId="0" borderId="10" xfId="0" applyFont="1" applyBorder="1" applyAlignment="1">
      <alignment horizontal="left" vertical="top" wrapText="1"/>
    </xf>
    <xf numFmtId="165" fontId="2" fillId="0" borderId="0" xfId="1" applyNumberFormat="1" applyFont="1" applyFill="1" applyBorder="1" applyAlignment="1" applyProtection="1">
      <alignment horizontal="right" vertical="center" indent="1"/>
      <protection hidden="1"/>
    </xf>
    <xf numFmtId="165" fontId="15" fillId="0" borderId="0" xfId="1" applyNumberFormat="1" applyFont="1" applyFill="1" applyBorder="1" applyAlignment="1" applyProtection="1">
      <alignment horizontal="right" vertical="center" indent="1"/>
      <protection hidden="1"/>
    </xf>
    <xf numFmtId="167" fontId="15" fillId="0" borderId="2" xfId="2" applyNumberFormat="1" applyFont="1" applyFill="1" applyBorder="1" applyProtection="1">
      <protection hidden="1"/>
    </xf>
    <xf numFmtId="167" fontId="2" fillId="0" borderId="2" xfId="2" applyNumberFormat="1" applyFont="1" applyFill="1" applyBorder="1" applyProtection="1">
      <protection hidden="1"/>
    </xf>
    <xf numFmtId="0" fontId="24" fillId="0" borderId="0" xfId="0" applyFont="1" applyAlignment="1">
      <alignment horizontal="left" vertical="top" wrapText="1"/>
    </xf>
    <xf numFmtId="0" fontId="2" fillId="0" borderId="0" xfId="0" applyFont="1" applyAlignment="1">
      <alignment horizontal="centerContinuous"/>
    </xf>
    <xf numFmtId="0" fontId="11" fillId="0" borderId="0" xfId="0" applyFont="1" applyAlignment="1">
      <alignment horizontal="centerContinuous"/>
    </xf>
    <xf numFmtId="0" fontId="11" fillId="0" borderId="0" xfId="0" quotePrefix="1" applyFont="1" applyAlignment="1">
      <alignment horizontal="centerContinuous"/>
    </xf>
    <xf numFmtId="0" fontId="14" fillId="0" borderId="0" xfId="0" applyFont="1" applyAlignment="1">
      <alignment vertical="center"/>
    </xf>
    <xf numFmtId="0" fontId="2" fillId="0" borderId="3" xfId="0" applyFont="1" applyBorder="1" applyAlignment="1">
      <alignment horizontal="center" vertical="top"/>
    </xf>
    <xf numFmtId="3" fontId="16" fillId="0" borderId="0" xfId="0" applyNumberFormat="1" applyFont="1" applyAlignment="1">
      <alignment horizontal="center" vertical="top"/>
    </xf>
    <xf numFmtId="167" fontId="6" fillId="0" borderId="2" xfId="2" applyNumberFormat="1" applyFont="1" applyFill="1" applyBorder="1" applyAlignment="1">
      <alignment horizontal="center" vertical="top"/>
    </xf>
    <xf numFmtId="0" fontId="2" fillId="0" borderId="0" xfId="0" applyFont="1" applyAlignment="1">
      <alignment vertical="top"/>
    </xf>
    <xf numFmtId="167" fontId="2" fillId="0" borderId="2" xfId="2" applyNumberFormat="1" applyFont="1" applyFill="1" applyBorder="1"/>
    <xf numFmtId="0" fontId="15" fillId="0" borderId="0" xfId="0" quotePrefix="1" applyFont="1" applyProtection="1">
      <protection hidden="1"/>
    </xf>
    <xf numFmtId="0" fontId="15" fillId="0" borderId="0" xfId="0" applyFont="1" applyProtection="1">
      <protection hidden="1"/>
    </xf>
    <xf numFmtId="0" fontId="2" fillId="0" borderId="3" xfId="0" applyFont="1" applyBorder="1" applyProtection="1">
      <protection hidden="1"/>
    </xf>
    <xf numFmtId="167" fontId="15" fillId="0" borderId="2" xfId="2" applyNumberFormat="1" applyFont="1" applyFill="1" applyBorder="1" applyAlignment="1" applyProtection="1">
      <alignment horizontal="right" vertical="center"/>
      <protection hidden="1"/>
    </xf>
    <xf numFmtId="0" fontId="2" fillId="0" borderId="0" xfId="0" applyFont="1" applyProtection="1">
      <protection hidden="1"/>
    </xf>
    <xf numFmtId="0" fontId="19" fillId="0" borderId="0" xfId="0" applyFont="1" applyProtection="1">
      <protection locked="0" hidden="1"/>
    </xf>
    <xf numFmtId="167" fontId="2" fillId="0" borderId="2" xfId="2" applyNumberFormat="1" applyFont="1" applyFill="1" applyBorder="1" applyAlignment="1" applyProtection="1">
      <alignment horizontal="right" vertical="center" indent="1"/>
      <protection hidden="1"/>
    </xf>
    <xf numFmtId="165" fontId="2" fillId="0" borderId="0" xfId="0" applyNumberFormat="1" applyFont="1"/>
    <xf numFmtId="165" fontId="2" fillId="0" borderId="9" xfId="1" applyNumberFormat="1" applyFont="1" applyFill="1" applyBorder="1" applyAlignment="1" applyProtection="1">
      <alignment horizontal="right" vertical="center" indent="1"/>
      <protection locked="0" hidden="1"/>
    </xf>
    <xf numFmtId="0" fontId="2" fillId="0" borderId="0" xfId="0" quotePrefix="1" applyFont="1" applyProtection="1">
      <protection hidden="1"/>
    </xf>
    <xf numFmtId="0" fontId="2" fillId="0" borderId="0" xfId="0" applyFont="1" applyAlignment="1">
      <alignment vertical="center"/>
    </xf>
    <xf numFmtId="3" fontId="2" fillId="0" borderId="0" xfId="0" applyNumberFormat="1" applyFont="1" applyAlignment="1">
      <alignment horizontal="right" vertical="center"/>
    </xf>
    <xf numFmtId="165" fontId="2" fillId="0" borderId="8" xfId="1" applyNumberFormat="1" applyFont="1" applyFill="1" applyBorder="1" applyAlignment="1" applyProtection="1">
      <alignment horizontal="right" vertical="center" indent="1"/>
      <protection locked="0" hidden="1"/>
    </xf>
    <xf numFmtId="165" fontId="2" fillId="0" borderId="9" xfId="1" applyNumberFormat="1" applyFont="1" applyFill="1" applyBorder="1" applyAlignment="1" applyProtection="1">
      <alignment horizontal="right" vertical="top" indent="1"/>
      <protection locked="0" hidden="1"/>
    </xf>
    <xf numFmtId="0" fontId="2" fillId="0" borderId="3" xfId="0" applyFont="1" applyBorder="1" applyProtection="1">
      <protection locked="0" hidden="1"/>
    </xf>
    <xf numFmtId="0" fontId="15" fillId="0" borderId="0" xfId="0" applyFont="1" applyAlignment="1" applyProtection="1">
      <alignment vertical="center"/>
      <protection hidden="1"/>
    </xf>
    <xf numFmtId="0" fontId="2" fillId="0" borderId="3" xfId="0" applyFont="1" applyBorder="1" applyAlignment="1" applyProtection="1">
      <alignment vertical="center"/>
      <protection hidden="1"/>
    </xf>
    <xf numFmtId="165" fontId="15" fillId="0" borderId="10" xfId="1" applyNumberFormat="1" applyFont="1" applyFill="1" applyBorder="1" applyAlignment="1" applyProtection="1">
      <alignment horizontal="right" vertical="center" indent="1"/>
      <protection hidden="1"/>
    </xf>
    <xf numFmtId="167" fontId="15" fillId="0" borderId="6" xfId="2" applyNumberFormat="1" applyFont="1" applyFill="1" applyBorder="1" applyAlignment="1" applyProtection="1">
      <alignment horizontal="right" vertical="center"/>
      <protection hidden="1"/>
    </xf>
    <xf numFmtId="0" fontId="2" fillId="0" borderId="4" xfId="0" applyFont="1" applyBorder="1" applyProtection="1">
      <protection hidden="1"/>
    </xf>
    <xf numFmtId="165" fontId="2" fillId="0" borderId="11" xfId="1" applyNumberFormat="1" applyFont="1" applyFill="1" applyBorder="1" applyAlignment="1" applyProtection="1">
      <alignment horizontal="right" vertical="center" indent="1"/>
      <protection hidden="1"/>
    </xf>
    <xf numFmtId="0" fontId="2" fillId="0" borderId="5" xfId="0" applyFont="1" applyBorder="1" applyProtection="1">
      <protection hidden="1"/>
    </xf>
    <xf numFmtId="165" fontId="2" fillId="0" borderId="0" xfId="1" applyNumberFormat="1" applyFont="1" applyFill="1" applyAlignment="1" applyProtection="1">
      <alignment horizontal="right" vertical="center" indent="1"/>
      <protection hidden="1"/>
    </xf>
    <xf numFmtId="3" fontId="2" fillId="0" borderId="0" xfId="0" applyNumberFormat="1" applyFont="1"/>
    <xf numFmtId="165" fontId="2" fillId="0" borderId="12" xfId="1" applyNumberFormat="1" applyFont="1" applyFill="1" applyBorder="1" applyAlignment="1" applyProtection="1">
      <alignment horizontal="right" vertical="center" indent="1"/>
      <protection locked="0" hidden="1"/>
    </xf>
    <xf numFmtId="0" fontId="2" fillId="0" borderId="0" xfId="0" applyFont="1" applyAlignment="1">
      <alignment horizontal="center"/>
    </xf>
    <xf numFmtId="166" fontId="2" fillId="0" borderId="0" xfId="1" applyFont="1" applyFill="1"/>
    <xf numFmtId="3" fontId="11" fillId="0" borderId="0" xfId="0" applyNumberFormat="1" applyFont="1" applyAlignment="1">
      <alignment horizontal="center"/>
    </xf>
    <xf numFmtId="0" fontId="11" fillId="0" borderId="0" xfId="0" quotePrefix="1" applyFont="1" applyAlignment="1">
      <alignment horizontal="center"/>
    </xf>
    <xf numFmtId="2" fontId="6" fillId="0" borderId="0" xfId="0" applyNumberFormat="1" applyFont="1" applyAlignment="1">
      <alignment horizontal="center"/>
    </xf>
    <xf numFmtId="3" fontId="11" fillId="0" borderId="0" xfId="0" applyNumberFormat="1" applyFont="1" applyAlignment="1" applyProtection="1">
      <alignment horizontal="center" vertical="top"/>
      <protection locked="0"/>
    </xf>
    <xf numFmtId="2" fontId="11" fillId="0" borderId="2" xfId="0" applyNumberFormat="1" applyFont="1" applyBorder="1" applyAlignment="1" applyProtection="1">
      <alignment horizontal="center" vertical="top"/>
      <protection locked="0"/>
    </xf>
    <xf numFmtId="2" fontId="11" fillId="0" borderId="0" xfId="0" applyNumberFormat="1" applyFont="1" applyAlignment="1" applyProtection="1">
      <alignment horizontal="center" vertical="top"/>
      <protection locked="0"/>
    </xf>
    <xf numFmtId="0" fontId="13" fillId="0" borderId="3" xfId="0" applyFont="1" applyBorder="1" applyAlignment="1" applyProtection="1">
      <alignment horizontal="center" vertical="top"/>
      <protection locked="0"/>
    </xf>
    <xf numFmtId="0" fontId="13" fillId="0" borderId="0" xfId="0" applyFont="1" applyAlignment="1" applyProtection="1">
      <alignment vertical="top"/>
      <protection locked="0"/>
    </xf>
    <xf numFmtId="167" fontId="6" fillId="0" borderId="2" xfId="0" applyNumberFormat="1" applyFont="1" applyBorder="1" applyAlignment="1" applyProtection="1">
      <alignment horizontal="center"/>
      <protection locked="0"/>
    </xf>
    <xf numFmtId="165" fontId="14" fillId="0" borderId="0" xfId="1" applyNumberFormat="1" applyFont="1" applyFill="1" applyBorder="1" applyAlignment="1">
      <alignment horizontal="right" vertical="center" indent="1"/>
    </xf>
    <xf numFmtId="0" fontId="14" fillId="0" borderId="3" xfId="0" applyFont="1" applyBorder="1"/>
    <xf numFmtId="0" fontId="6" fillId="0" borderId="0" xfId="0" quotePrefix="1" applyFont="1" applyAlignment="1">
      <alignment horizontal="center"/>
    </xf>
    <xf numFmtId="0" fontId="15" fillId="0" borderId="3" xfId="0" applyFont="1" applyBorder="1" applyProtection="1">
      <protection locked="0"/>
    </xf>
    <xf numFmtId="165" fontId="14" fillId="0" borderId="7" xfId="1" applyNumberFormat="1" applyFont="1" applyFill="1" applyBorder="1" applyAlignment="1" applyProtection="1">
      <alignment horizontal="right" vertical="center" indent="1"/>
      <protection locked="0"/>
    </xf>
    <xf numFmtId="167" fontId="16" fillId="0" borderId="2" xfId="2" applyNumberFormat="1" applyFont="1" applyFill="1" applyBorder="1" applyProtection="1"/>
    <xf numFmtId="3" fontId="14" fillId="0" borderId="0" xfId="0" applyNumberFormat="1" applyFont="1" applyProtection="1">
      <protection locked="0"/>
    </xf>
    <xf numFmtId="0" fontId="14" fillId="0" borderId="3" xfId="0" applyFont="1" applyBorder="1" applyProtection="1">
      <protection locked="0"/>
    </xf>
    <xf numFmtId="0" fontId="14" fillId="0" borderId="0" xfId="0" applyFont="1" applyProtection="1">
      <protection locked="0"/>
    </xf>
    <xf numFmtId="0" fontId="2" fillId="0" borderId="0" xfId="0" applyFont="1" applyProtection="1">
      <protection locked="0"/>
    </xf>
    <xf numFmtId="166" fontId="2" fillId="0" borderId="0" xfId="1" applyFont="1" applyFill="1" applyProtection="1">
      <protection locked="0"/>
    </xf>
    <xf numFmtId="0" fontId="6" fillId="0" borderId="0" xfId="0" applyFont="1" applyProtection="1">
      <protection locked="0"/>
    </xf>
    <xf numFmtId="165" fontId="14" fillId="0" borderId="9" xfId="1" applyNumberFormat="1" applyFont="1" applyFill="1" applyBorder="1" applyAlignment="1" applyProtection="1">
      <alignment horizontal="right" vertical="center" indent="1"/>
      <protection locked="0"/>
    </xf>
    <xf numFmtId="165" fontId="14" fillId="0" borderId="8" xfId="1" applyNumberFormat="1" applyFont="1" applyFill="1" applyBorder="1" applyAlignment="1" applyProtection="1">
      <alignment horizontal="right" vertical="center" indent="1"/>
      <protection locked="0"/>
    </xf>
    <xf numFmtId="0" fontId="2" fillId="0" borderId="0" xfId="0" quotePrefix="1" applyFont="1" applyAlignment="1">
      <alignment horizontal="center"/>
    </xf>
    <xf numFmtId="0" fontId="2" fillId="0" borderId="3" xfId="0" applyFont="1" applyBorder="1" applyProtection="1">
      <protection locked="0"/>
    </xf>
    <xf numFmtId="165" fontId="16" fillId="0" borderId="10" xfId="1" applyNumberFormat="1" applyFont="1" applyFill="1" applyBorder="1" applyAlignment="1" applyProtection="1">
      <alignment horizontal="right" vertical="center" indent="1"/>
      <protection hidden="1"/>
    </xf>
    <xf numFmtId="0" fontId="16" fillId="0" borderId="3" xfId="0" applyFont="1" applyBorder="1"/>
    <xf numFmtId="165" fontId="14" fillId="0" borderId="1" xfId="1" applyNumberFormat="1" applyFont="1" applyFill="1" applyBorder="1" applyAlignment="1">
      <alignment horizontal="right" vertical="center" indent="1"/>
    </xf>
    <xf numFmtId="0" fontId="14" fillId="0" borderId="1" xfId="0" applyFont="1" applyBorder="1"/>
    <xf numFmtId="0" fontId="2" fillId="0" borderId="3" xfId="0" applyFont="1" applyBorder="1" applyAlignment="1" applyProtection="1">
      <alignment horizontal="center"/>
      <protection locked="0"/>
    </xf>
    <xf numFmtId="167" fontId="6" fillId="0" borderId="2" xfId="0" applyNumberFormat="1" applyFont="1" applyBorder="1" applyAlignment="1">
      <alignment horizontal="center"/>
    </xf>
    <xf numFmtId="3" fontId="13" fillId="0" borderId="0" xfId="0" applyNumberFormat="1" applyFont="1" applyProtection="1">
      <protection locked="0"/>
    </xf>
    <xf numFmtId="2" fontId="13" fillId="0" borderId="0" xfId="0" applyNumberFormat="1" applyFont="1" applyProtection="1">
      <protection locked="0"/>
    </xf>
    <xf numFmtId="0" fontId="13" fillId="0" borderId="3" xfId="0" applyFont="1" applyBorder="1" applyProtection="1">
      <protection locked="0"/>
    </xf>
    <xf numFmtId="0" fontId="13" fillId="0" borderId="0" xfId="0" applyFont="1" applyProtection="1">
      <protection locked="0"/>
    </xf>
    <xf numFmtId="167" fontId="13" fillId="0" borderId="2" xfId="0" applyNumberFormat="1" applyFont="1" applyBorder="1"/>
    <xf numFmtId="167" fontId="2" fillId="0" borderId="2" xfId="0" applyNumberFormat="1" applyFont="1" applyBorder="1"/>
    <xf numFmtId="2" fontId="16" fillId="0" borderId="0" xfId="0" applyNumberFormat="1" applyFont="1"/>
    <xf numFmtId="2" fontId="14" fillId="0" borderId="0" xfId="0" applyNumberFormat="1" applyFont="1" applyProtection="1">
      <protection locked="0"/>
    </xf>
    <xf numFmtId="2" fontId="14" fillId="0" borderId="0" xfId="0" applyNumberFormat="1" applyFont="1"/>
    <xf numFmtId="0" fontId="2" fillId="0" borderId="0" xfId="0" applyFont="1" applyAlignment="1">
      <alignment horizontal="center" vertical="top"/>
    </xf>
    <xf numFmtId="0" fontId="2" fillId="0" borderId="3" xfId="0" applyFont="1" applyBorder="1" applyAlignment="1" applyProtection="1">
      <alignment vertical="top"/>
      <protection locked="0"/>
    </xf>
    <xf numFmtId="165" fontId="14" fillId="0" borderId="9" xfId="1" applyNumberFormat="1" applyFont="1" applyFill="1" applyBorder="1" applyAlignment="1" applyProtection="1">
      <alignment horizontal="right" vertical="top"/>
      <protection locked="0"/>
    </xf>
    <xf numFmtId="2" fontId="14" fillId="0" borderId="0" xfId="0" applyNumberFormat="1" applyFont="1" applyAlignment="1" applyProtection="1">
      <alignment vertical="top"/>
      <protection locked="0"/>
    </xf>
    <xf numFmtId="0" fontId="14" fillId="0" borderId="3" xfId="0" applyFont="1" applyBorder="1" applyAlignment="1" applyProtection="1">
      <alignment vertical="top"/>
      <protection locked="0"/>
    </xf>
    <xf numFmtId="0" fontId="14" fillId="0" borderId="0" xfId="0" applyFont="1" applyAlignment="1" applyProtection="1">
      <alignment vertical="top"/>
      <protection locked="0"/>
    </xf>
    <xf numFmtId="0" fontId="2" fillId="0" borderId="0" xfId="0" applyFont="1" applyAlignment="1" applyProtection="1">
      <alignment vertical="top"/>
      <protection locked="0"/>
    </xf>
    <xf numFmtId="166" fontId="2" fillId="0" borderId="0" xfId="1" applyFont="1" applyFill="1" applyAlignment="1" applyProtection="1">
      <alignment vertical="top"/>
      <protection locked="0"/>
    </xf>
    <xf numFmtId="165" fontId="14" fillId="0" borderId="9" xfId="1" applyNumberFormat="1" applyFont="1" applyFill="1" applyBorder="1" applyAlignment="1" applyProtection="1">
      <alignment horizontal="right" vertical="top" indent="1"/>
      <protection locked="0"/>
    </xf>
    <xf numFmtId="165" fontId="16" fillId="0" borderId="0" xfId="1" applyNumberFormat="1" applyFont="1" applyFill="1" applyBorder="1" applyAlignment="1" applyProtection="1">
      <alignment horizontal="right" vertical="center" indent="1"/>
      <protection locked="0"/>
    </xf>
    <xf numFmtId="0" fontId="16" fillId="0" borderId="3" xfId="0" applyFont="1" applyBorder="1" applyProtection="1">
      <protection locked="0"/>
    </xf>
    <xf numFmtId="2" fontId="16" fillId="0" borderId="0" xfId="0" applyNumberFormat="1" applyFont="1" applyProtection="1">
      <protection locked="0"/>
    </xf>
    <xf numFmtId="0" fontId="15" fillId="0" borderId="0" xfId="0" quotePrefix="1" applyFont="1" applyAlignment="1">
      <alignment horizontal="center"/>
    </xf>
    <xf numFmtId="0" fontId="17" fillId="0" borderId="0" xfId="0" applyFont="1" applyProtection="1">
      <protection locked="0"/>
    </xf>
    <xf numFmtId="165" fontId="16" fillId="0" borderId="0" xfId="1" applyNumberFormat="1" applyFont="1" applyFill="1" applyBorder="1" applyAlignment="1">
      <alignment horizontal="right" vertical="center" indent="1"/>
    </xf>
    <xf numFmtId="165" fontId="14" fillId="0" borderId="11" xfId="1" applyNumberFormat="1" applyFont="1" applyFill="1" applyBorder="1" applyAlignment="1">
      <alignment horizontal="right" vertical="center" indent="1"/>
    </xf>
    <xf numFmtId="0" fontId="14" fillId="0" borderId="4" xfId="0" applyFont="1" applyBorder="1"/>
    <xf numFmtId="167" fontId="14" fillId="0" borderId="5" xfId="0" applyNumberFormat="1" applyFont="1" applyBorder="1"/>
    <xf numFmtId="165" fontId="16" fillId="0" borderId="0" xfId="1" applyNumberFormat="1" applyFont="1" applyFill="1" applyBorder="1" applyAlignment="1" applyProtection="1">
      <alignment horizontal="right" vertical="center" indent="1"/>
      <protection hidden="1"/>
    </xf>
    <xf numFmtId="0" fontId="16" fillId="0" borderId="0" xfId="0" applyFont="1"/>
    <xf numFmtId="0" fontId="32" fillId="0" borderId="0" xfId="0" applyFont="1"/>
    <xf numFmtId="167" fontId="16" fillId="0" borderId="10" xfId="0" applyNumberFormat="1" applyFont="1" applyBorder="1" applyAlignment="1" applyProtection="1">
      <alignment horizontal="center" vertical="center"/>
      <protection hidden="1"/>
    </xf>
    <xf numFmtId="167" fontId="14" fillId="0" borderId="0" xfId="0" applyNumberFormat="1" applyFont="1"/>
    <xf numFmtId="167" fontId="2" fillId="0" borderId="0" xfId="0" applyNumberFormat="1" applyFont="1"/>
    <xf numFmtId="0" fontId="2" fillId="0" borderId="0" xfId="0" applyFont="1" applyAlignment="1">
      <alignment horizontal="center" vertical="center"/>
    </xf>
    <xf numFmtId="0" fontId="2" fillId="0" borderId="12" xfId="0" applyFont="1" applyBorder="1" applyAlignment="1">
      <alignment vertical="center"/>
    </xf>
    <xf numFmtId="3" fontId="2" fillId="0" borderId="12" xfId="0" applyNumberFormat="1" applyFont="1" applyBorder="1" applyAlignment="1" applyProtection="1">
      <alignment vertical="center"/>
      <protection locked="0"/>
    </xf>
    <xf numFmtId="3" fontId="2" fillId="0" borderId="0" xfId="0" applyNumberFormat="1" applyFont="1" applyAlignment="1">
      <alignment vertical="center"/>
    </xf>
    <xf numFmtId="165" fontId="2" fillId="0" borderId="0" xfId="0" applyNumberFormat="1" applyFont="1" applyAlignment="1">
      <alignment vertical="center"/>
    </xf>
    <xf numFmtId="166" fontId="2" fillId="0" borderId="0" xfId="1" applyFont="1" applyFill="1" applyAlignment="1">
      <alignment vertical="center"/>
    </xf>
    <xf numFmtId="0" fontId="18" fillId="0" borderId="0" xfId="0" applyFont="1" applyAlignment="1" applyProtection="1">
      <alignment horizontal="center"/>
      <protection locked="0"/>
    </xf>
    <xf numFmtId="0" fontId="12" fillId="0" borderId="0" xfId="0" applyFont="1" applyAlignment="1">
      <alignment horizontal="center"/>
    </xf>
    <xf numFmtId="3" fontId="11" fillId="0" borderId="11" xfId="0" quotePrefix="1" applyNumberFormat="1" applyFont="1" applyBorder="1" applyAlignment="1">
      <alignment horizontal="center" vertical="center" wrapText="1"/>
    </xf>
    <xf numFmtId="3" fontId="11" fillId="0" borderId="11" xfId="0" applyNumberFormat="1" applyFont="1" applyBorder="1" applyAlignment="1">
      <alignment horizontal="center" vertical="center" wrapText="1"/>
    </xf>
    <xf numFmtId="0" fontId="21" fillId="0" borderId="0" xfId="0" applyFont="1" applyAlignment="1">
      <alignment horizontal="center"/>
    </xf>
    <xf numFmtId="3" fontId="12" fillId="0" borderId="0" xfId="0" quotePrefix="1" applyNumberFormat="1" applyFont="1" applyAlignment="1">
      <alignment horizontal="center"/>
    </xf>
    <xf numFmtId="3" fontId="12" fillId="0" borderId="0" xfId="0" applyNumberFormat="1" applyFont="1" applyAlignment="1">
      <alignment horizontal="center"/>
    </xf>
    <xf numFmtId="0" fontId="33" fillId="0" borderId="0" xfId="0" applyFont="1" applyAlignment="1">
      <alignment horizontal="center" vertical="center" wrapText="1"/>
    </xf>
    <xf numFmtId="17" fontId="9" fillId="0" borderId="0" xfId="0" quotePrefix="1" applyNumberFormat="1" applyFont="1" applyAlignment="1">
      <alignment horizontal="center"/>
    </xf>
    <xf numFmtId="0" fontId="9" fillId="0" borderId="0" xfId="0" applyFont="1" applyAlignment="1">
      <alignment horizontal="center"/>
    </xf>
    <xf numFmtId="3" fontId="16" fillId="0" borderId="11" xfId="0" applyNumberFormat="1" applyFont="1" applyBorder="1" applyAlignment="1">
      <alignment horizontal="center" vertical="center" wrapText="1"/>
    </xf>
    <xf numFmtId="3" fontId="16" fillId="0" borderId="11" xfId="0" quotePrefix="1" applyNumberFormat="1" applyFont="1" applyBorder="1" applyAlignment="1">
      <alignment horizontal="center" vertical="center" wrapText="1"/>
    </xf>
    <xf numFmtId="0" fontId="24" fillId="3" borderId="21" xfId="0" applyFont="1" applyFill="1" applyBorder="1" applyAlignment="1">
      <alignment horizontal="left" vertical="center" wrapText="1"/>
    </xf>
    <xf numFmtId="0" fontId="24" fillId="3" borderId="12" xfId="0" applyFont="1" applyFill="1" applyBorder="1" applyAlignment="1">
      <alignment horizontal="left" vertical="center" wrapText="1"/>
    </xf>
    <xf numFmtId="0" fontId="24" fillId="3" borderId="25" xfId="0" applyFont="1" applyFill="1" applyBorder="1" applyAlignment="1">
      <alignment horizontal="left" vertical="center" wrapText="1"/>
    </xf>
    <xf numFmtId="0" fontId="24" fillId="3" borderId="26" xfId="0" applyFont="1" applyFill="1" applyBorder="1" applyAlignment="1">
      <alignment horizontal="left" vertical="center" wrapText="1"/>
    </xf>
    <xf numFmtId="0" fontId="9" fillId="0" borderId="0" xfId="0" applyFont="1" applyAlignment="1">
      <alignment horizontal="center" vertical="top" wrapText="1"/>
    </xf>
    <xf numFmtId="0" fontId="27" fillId="3" borderId="14" xfId="0" applyFont="1" applyFill="1" applyBorder="1" applyAlignment="1">
      <alignment horizontal="center" vertical="center"/>
    </xf>
    <xf numFmtId="0" fontId="27" fillId="3" borderId="15" xfId="0" applyFont="1" applyFill="1" applyBorder="1" applyAlignment="1">
      <alignment horizontal="center" vertical="center"/>
    </xf>
    <xf numFmtId="0" fontId="27" fillId="3" borderId="17" xfId="0" applyFont="1" applyFill="1" applyBorder="1" applyAlignment="1">
      <alignment horizontal="center" vertical="center"/>
    </xf>
    <xf numFmtId="0" fontId="28" fillId="3" borderId="18" xfId="0" applyFont="1" applyFill="1" applyBorder="1" applyAlignment="1">
      <alignment horizontal="center" vertical="center"/>
    </xf>
    <xf numFmtId="0" fontId="28" fillId="3" borderId="8" xfId="0" applyFont="1" applyFill="1" applyBorder="1" applyAlignment="1">
      <alignment horizontal="center" vertical="center"/>
    </xf>
    <xf numFmtId="0" fontId="2" fillId="3" borderId="21" xfId="0" applyFont="1" applyFill="1" applyBorder="1" applyAlignment="1">
      <alignment horizontal="left" vertical="center" wrapText="1"/>
    </xf>
    <xf numFmtId="0" fontId="2" fillId="3" borderId="12" xfId="0" applyFont="1" applyFill="1" applyBorder="1" applyAlignment="1">
      <alignment horizontal="left" vertical="center" wrapText="1"/>
    </xf>
  </cellXfs>
  <cellStyles count="3">
    <cellStyle name="Comma" xfId="1" builtinId="3"/>
    <cellStyle name="Normal" xfId="0" builtinId="0"/>
    <cellStyle name="Percent" xfId="2"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B160"/>
  <sheetViews>
    <sheetView topLeftCell="A151" zoomScale="110" zoomScaleNormal="110" workbookViewId="0">
      <selection activeCell="A176" sqref="A176"/>
    </sheetView>
  </sheetViews>
  <sheetFormatPr defaultRowHeight="12.75"/>
  <cols>
    <col min="1" max="1" width="105.140625" style="38" customWidth="1"/>
    <col min="2" max="2" width="20" bestFit="1" customWidth="1"/>
    <col min="3" max="3" width="21" customWidth="1"/>
    <col min="4" max="4" width="25.5703125" customWidth="1"/>
    <col min="5" max="5" width="8.42578125" bestFit="1" customWidth="1"/>
    <col min="6" max="6" width="47.85546875" customWidth="1"/>
    <col min="7" max="7" width="47.140625" customWidth="1"/>
    <col min="8" max="8" width="45.42578125" customWidth="1"/>
  </cols>
  <sheetData>
    <row r="1" spans="1:1" ht="20.25">
      <c r="A1" s="36" t="s">
        <v>0</v>
      </c>
    </row>
    <row r="2" spans="1:1" ht="16.5" customHeight="1">
      <c r="A2" s="37"/>
    </row>
    <row r="3" spans="1:1" ht="15">
      <c r="A3" s="58" t="s">
        <v>1</v>
      </c>
    </row>
    <row r="4" spans="1:1" ht="13.5">
      <c r="A4" s="30"/>
    </row>
    <row r="5" spans="1:1" ht="13.5">
      <c r="A5" s="2" t="s">
        <v>2</v>
      </c>
    </row>
    <row r="6" spans="1:1" ht="13.5">
      <c r="A6" s="2" t="s">
        <v>3</v>
      </c>
    </row>
    <row r="7" spans="1:1" ht="13.5">
      <c r="A7" s="2" t="s">
        <v>4</v>
      </c>
    </row>
    <row r="8" spans="1:1" ht="13.5">
      <c r="A8" s="30" t="s">
        <v>5</v>
      </c>
    </row>
    <row r="9" spans="1:1" ht="13.5">
      <c r="A9" s="2" t="s">
        <v>6</v>
      </c>
    </row>
    <row r="10" spans="1:1" ht="13.5">
      <c r="A10" s="2" t="s">
        <v>7</v>
      </c>
    </row>
    <row r="11" spans="1:1">
      <c r="A11" s="2"/>
    </row>
    <row r="12" spans="1:1" ht="15">
      <c r="A12" s="58" t="s">
        <v>8</v>
      </c>
    </row>
    <row r="13" spans="1:1" ht="13.5">
      <c r="A13" s="30"/>
    </row>
    <row r="14" spans="1:1" ht="15">
      <c r="A14" s="33" t="s">
        <v>9</v>
      </c>
    </row>
    <row r="15" spans="1:1" ht="13.5">
      <c r="A15" s="30"/>
    </row>
    <row r="16" spans="1:1" ht="27">
      <c r="A16" s="30" t="s">
        <v>10</v>
      </c>
    </row>
    <row r="17" spans="1:2" ht="27">
      <c r="A17" s="30" t="s">
        <v>11</v>
      </c>
    </row>
    <row r="18" spans="1:2" ht="40.5">
      <c r="A18" s="30" t="s">
        <v>12</v>
      </c>
    </row>
    <row r="19" spans="1:2" ht="13.5">
      <c r="A19" s="30"/>
    </row>
    <row r="20" spans="1:2" ht="18">
      <c r="A20" s="114" t="s">
        <v>13</v>
      </c>
    </row>
    <row r="21" spans="1:2" ht="15.75" thickBot="1">
      <c r="A21" s="33"/>
    </row>
    <row r="22" spans="1:2" ht="15.75" thickBot="1">
      <c r="A22" s="115" t="s">
        <v>14</v>
      </c>
    </row>
    <row r="23" spans="1:2" ht="30.75" customHeight="1">
      <c r="A23" s="30" t="s">
        <v>15</v>
      </c>
    </row>
    <row r="24" spans="1:2" ht="47.25" customHeight="1">
      <c r="A24" s="30" t="s">
        <v>16</v>
      </c>
    </row>
    <row r="25" spans="1:2" ht="33" customHeight="1">
      <c r="A25" s="30" t="s">
        <v>17</v>
      </c>
    </row>
    <row r="26" spans="1:2" ht="60.75" customHeight="1">
      <c r="A26" s="30" t="s">
        <v>18</v>
      </c>
    </row>
    <row r="27" spans="1:2" ht="46.5" customHeight="1">
      <c r="A27" s="30" t="s">
        <v>19</v>
      </c>
    </row>
    <row r="28" spans="1:2" ht="74.25" customHeight="1">
      <c r="A28" s="30" t="s">
        <v>20</v>
      </c>
      <c r="B28" s="113"/>
    </row>
    <row r="29" spans="1:2" ht="97.5" customHeight="1">
      <c r="A29" s="30" t="s">
        <v>21</v>
      </c>
    </row>
    <row r="30" spans="1:2" ht="30.75" customHeight="1">
      <c r="A30" s="34" t="s">
        <v>22</v>
      </c>
    </row>
    <row r="31" spans="1:2" ht="13.5" thickBot="1">
      <c r="A31" s="34"/>
    </row>
    <row r="32" spans="1:2" ht="22.5" customHeight="1" thickBot="1">
      <c r="A32" s="115" t="s">
        <v>23</v>
      </c>
    </row>
    <row r="33" spans="1:1" ht="18" customHeight="1">
      <c r="A33" s="30" t="s">
        <v>24</v>
      </c>
    </row>
    <row r="34" spans="1:1" s="28" customFormat="1" ht="56.25" customHeight="1">
      <c r="A34" s="30" t="s">
        <v>25</v>
      </c>
    </row>
    <row r="35" spans="1:1" s="28" customFormat="1" ht="45" customHeight="1">
      <c r="A35" s="30" t="s">
        <v>26</v>
      </c>
    </row>
    <row r="36" spans="1:1" s="28" customFormat="1" ht="32.25" customHeight="1">
      <c r="A36" s="30" t="s">
        <v>27</v>
      </c>
    </row>
    <row r="37" spans="1:1" s="28" customFormat="1" ht="33" customHeight="1">
      <c r="A37" s="30" t="s">
        <v>28</v>
      </c>
    </row>
    <row r="38" spans="1:1" s="28" customFormat="1" ht="30" customHeight="1">
      <c r="A38" s="30" t="s">
        <v>29</v>
      </c>
    </row>
    <row r="39" spans="1:1" s="28" customFormat="1" ht="44.45" customHeight="1">
      <c r="A39" s="30" t="s">
        <v>30</v>
      </c>
    </row>
    <row r="40" spans="1:1" s="28" customFormat="1" ht="30.6" customHeight="1">
      <c r="A40" s="30" t="s">
        <v>31</v>
      </c>
    </row>
    <row r="41" spans="1:1" s="28" customFormat="1" ht="59.45" customHeight="1">
      <c r="A41" s="30" t="s">
        <v>32</v>
      </c>
    </row>
    <row r="42" spans="1:1" s="28" customFormat="1" ht="14.25" thickBot="1">
      <c r="A42" s="30"/>
    </row>
    <row r="43" spans="1:1" s="28" customFormat="1" ht="16.5" thickBot="1">
      <c r="A43" s="59" t="s">
        <v>33</v>
      </c>
    </row>
    <row r="44" spans="1:1" ht="162">
      <c r="A44" s="30" t="s">
        <v>34</v>
      </c>
    </row>
    <row r="45" spans="1:1" ht="48.75" customHeight="1">
      <c r="A45" s="27" t="s">
        <v>35</v>
      </c>
    </row>
    <row r="46" spans="1:1" ht="13.5">
      <c r="A46" s="30" t="s">
        <v>36</v>
      </c>
    </row>
    <row r="47" spans="1:1" ht="13.5">
      <c r="A47" s="30" t="s">
        <v>37</v>
      </c>
    </row>
    <row r="48" spans="1:1" ht="40.5">
      <c r="A48" s="30" t="s">
        <v>38</v>
      </c>
    </row>
    <row r="49" spans="1:2" ht="13.5">
      <c r="A49" s="30" t="s">
        <v>39</v>
      </c>
    </row>
    <row r="50" spans="1:2" ht="13.5">
      <c r="A50" s="30" t="s">
        <v>40</v>
      </c>
    </row>
    <row r="51" spans="1:2" ht="13.5">
      <c r="A51" s="30" t="s">
        <v>41</v>
      </c>
    </row>
    <row r="52" spans="1:2" ht="13.5">
      <c r="A52" s="30" t="s">
        <v>42</v>
      </c>
    </row>
    <row r="53" spans="1:2" ht="13.5">
      <c r="A53" s="30" t="s">
        <v>43</v>
      </c>
    </row>
    <row r="54" spans="1:2" ht="13.5">
      <c r="A54" s="30" t="s">
        <v>44</v>
      </c>
    </row>
    <row r="55" spans="1:2" ht="13.5">
      <c r="A55" s="30"/>
    </row>
    <row r="56" spans="1:2" ht="27">
      <c r="A56" s="30" t="s">
        <v>45</v>
      </c>
    </row>
    <row r="57" spans="1:2" ht="54">
      <c r="A57" s="30" t="s">
        <v>46</v>
      </c>
    </row>
    <row r="58" spans="1:2" ht="13.5">
      <c r="A58" s="30" t="s">
        <v>47</v>
      </c>
    </row>
    <row r="59" spans="1:2" ht="13.5">
      <c r="A59" s="30" t="s">
        <v>48</v>
      </c>
    </row>
    <row r="60" spans="1:2" ht="13.5">
      <c r="A60" s="30" t="s">
        <v>49</v>
      </c>
      <c r="B60" s="29"/>
    </row>
    <row r="61" spans="1:2" ht="13.5">
      <c r="A61" s="30" t="s">
        <v>50</v>
      </c>
    </row>
    <row r="62" spans="1:2" ht="13.5">
      <c r="A62" s="30" t="s">
        <v>51</v>
      </c>
    </row>
    <row r="63" spans="1:2" ht="13.5">
      <c r="A63" s="30" t="s">
        <v>52</v>
      </c>
    </row>
    <row r="64" spans="1:2" ht="13.5">
      <c r="A64" s="30" t="s">
        <v>53</v>
      </c>
    </row>
    <row r="65" spans="1:1" ht="13.5">
      <c r="A65" s="30" t="s">
        <v>54</v>
      </c>
    </row>
    <row r="66" spans="1:1" ht="13.5">
      <c r="A66" s="30" t="s">
        <v>55</v>
      </c>
    </row>
    <row r="67" spans="1:1" ht="13.5">
      <c r="A67" s="30"/>
    </row>
    <row r="68" spans="1:1" ht="30.75" customHeight="1" thickBot="1">
      <c r="A68" s="34" t="s">
        <v>56</v>
      </c>
    </row>
    <row r="69" spans="1:1" ht="15.75" thickBot="1">
      <c r="A69" s="115" t="s">
        <v>57</v>
      </c>
    </row>
    <row r="70" spans="1:1" ht="27">
      <c r="A70" s="30" t="s">
        <v>58</v>
      </c>
    </row>
    <row r="71" spans="1:1" ht="13.5" thickBot="1">
      <c r="A71" s="35"/>
    </row>
    <row r="72" spans="1:1" ht="15.75" thickBot="1">
      <c r="A72" s="115" t="s">
        <v>59</v>
      </c>
    </row>
    <row r="73" spans="1:1" ht="27">
      <c r="A73" s="30" t="s">
        <v>60</v>
      </c>
    </row>
    <row r="74" spans="1:1" ht="14.25" thickBot="1">
      <c r="A74" s="30"/>
    </row>
    <row r="75" spans="1:1" ht="15.75" thickBot="1">
      <c r="A75" s="115" t="s">
        <v>61</v>
      </c>
    </row>
    <row r="76" spans="1:1" ht="40.5">
      <c r="A76" s="30" t="s">
        <v>62</v>
      </c>
    </row>
    <row r="77" spans="1:1">
      <c r="A77" s="112"/>
    </row>
    <row r="78" spans="1:1">
      <c r="A78" s="111" t="s">
        <v>63</v>
      </c>
    </row>
    <row r="79" spans="1:1" ht="30.75" customHeight="1">
      <c r="A79" s="30" t="s">
        <v>64</v>
      </c>
    </row>
    <row r="80" spans="1:1">
      <c r="A80" s="111" t="s">
        <v>65</v>
      </c>
    </row>
    <row r="81" spans="1:1" ht="20.25" customHeight="1">
      <c r="A81" s="30" t="s">
        <v>66</v>
      </c>
    </row>
    <row r="82" spans="1:1">
      <c r="A82" s="111" t="s">
        <v>67</v>
      </c>
    </row>
    <row r="83" spans="1:1" ht="18" customHeight="1">
      <c r="A83" s="30" t="s">
        <v>68</v>
      </c>
    </row>
    <row r="84" spans="1:1">
      <c r="A84" s="111" t="s">
        <v>69</v>
      </c>
    </row>
    <row r="85" spans="1:1" ht="18" customHeight="1">
      <c r="A85" s="30" t="s">
        <v>70</v>
      </c>
    </row>
    <row r="86" spans="1:1">
      <c r="A86" s="111" t="s">
        <v>71</v>
      </c>
    </row>
    <row r="87" spans="1:1" ht="18" customHeight="1">
      <c r="A87" s="30" t="s">
        <v>72</v>
      </c>
    </row>
    <row r="88" spans="1:1">
      <c r="A88" s="111" t="s">
        <v>73</v>
      </c>
    </row>
    <row r="89" spans="1:1" ht="30" customHeight="1">
      <c r="A89" s="30" t="s">
        <v>74</v>
      </c>
    </row>
    <row r="90" spans="1:1">
      <c r="A90" s="111" t="s">
        <v>75</v>
      </c>
    </row>
    <row r="91" spans="1:1" ht="16.5" customHeight="1">
      <c r="A91" s="30" t="s">
        <v>76</v>
      </c>
    </row>
    <row r="92" spans="1:1">
      <c r="A92" s="111" t="s">
        <v>77</v>
      </c>
    </row>
    <row r="93" spans="1:1" ht="54">
      <c r="A93" s="30" t="s">
        <v>78</v>
      </c>
    </row>
    <row r="94" spans="1:1">
      <c r="A94" s="111" t="s">
        <v>79</v>
      </c>
    </row>
    <row r="95" spans="1:1" ht="16.5" customHeight="1">
      <c r="A95" s="30" t="s">
        <v>80</v>
      </c>
    </row>
    <row r="96" spans="1:1">
      <c r="A96" s="111" t="s">
        <v>81</v>
      </c>
    </row>
    <row r="97" spans="1:1" ht="31.5" customHeight="1">
      <c r="A97" s="30" t="s">
        <v>82</v>
      </c>
    </row>
    <row r="98" spans="1:1">
      <c r="A98" s="111" t="s">
        <v>83</v>
      </c>
    </row>
    <row r="99" spans="1:1" ht="33" customHeight="1">
      <c r="A99" s="30" t="s">
        <v>84</v>
      </c>
    </row>
    <row r="100" spans="1:1">
      <c r="A100" s="111" t="s">
        <v>85</v>
      </c>
    </row>
    <row r="101" spans="1:1" ht="30.75" customHeight="1">
      <c r="A101" s="30" t="s">
        <v>86</v>
      </c>
    </row>
    <row r="102" spans="1:1">
      <c r="A102" s="111" t="s">
        <v>87</v>
      </c>
    </row>
    <row r="103" spans="1:1" ht="32.25" customHeight="1">
      <c r="A103" s="30" t="s">
        <v>88</v>
      </c>
    </row>
    <row r="104" spans="1:1">
      <c r="A104" s="111" t="s">
        <v>89</v>
      </c>
    </row>
    <row r="105" spans="1:1" ht="18.75" customHeight="1">
      <c r="A105" s="30" t="s">
        <v>90</v>
      </c>
    </row>
    <row r="106" spans="1:1">
      <c r="A106" s="111" t="s">
        <v>91</v>
      </c>
    </row>
    <row r="107" spans="1:1" ht="20.25" customHeight="1">
      <c r="A107" s="30" t="s">
        <v>92</v>
      </c>
    </row>
    <row r="108" spans="1:1">
      <c r="A108" s="111" t="s">
        <v>93</v>
      </c>
    </row>
    <row r="109" spans="1:1" ht="17.25" customHeight="1">
      <c r="A109" s="30" t="s">
        <v>94</v>
      </c>
    </row>
    <row r="110" spans="1:1">
      <c r="A110" s="111" t="s">
        <v>95</v>
      </c>
    </row>
    <row r="111" spans="1:1" ht="27">
      <c r="A111" s="30" t="s">
        <v>96</v>
      </c>
    </row>
    <row r="112" spans="1:1">
      <c r="A112" s="111" t="s">
        <v>97</v>
      </c>
    </row>
    <row r="113" spans="1:1" ht="21" customHeight="1">
      <c r="A113" s="30" t="s">
        <v>98</v>
      </c>
    </row>
    <row r="114" spans="1:1">
      <c r="A114" s="111" t="s">
        <v>99</v>
      </c>
    </row>
    <row r="115" spans="1:1" ht="17.25" customHeight="1">
      <c r="A115" s="30" t="s">
        <v>100</v>
      </c>
    </row>
    <row r="116" spans="1:1">
      <c r="A116" s="111" t="s">
        <v>101</v>
      </c>
    </row>
    <row r="117" spans="1:1" ht="16.5" customHeight="1">
      <c r="A117" s="30" t="s">
        <v>102</v>
      </c>
    </row>
    <row r="118" spans="1:1">
      <c r="A118" s="111" t="s">
        <v>103</v>
      </c>
    </row>
    <row r="119" spans="1:1" ht="17.25" customHeight="1">
      <c r="A119" s="30" t="s">
        <v>104</v>
      </c>
    </row>
    <row r="120" spans="1:1">
      <c r="A120" s="111" t="s">
        <v>105</v>
      </c>
    </row>
    <row r="121" spans="1:1" ht="17.25" customHeight="1">
      <c r="A121" s="30" t="s">
        <v>106</v>
      </c>
    </row>
    <row r="122" spans="1:1">
      <c r="A122" s="111" t="s">
        <v>107</v>
      </c>
    </row>
    <row r="123" spans="1:1" ht="30" customHeight="1">
      <c r="A123" s="30" t="s">
        <v>108</v>
      </c>
    </row>
    <row r="124" spans="1:1">
      <c r="A124" s="111" t="s">
        <v>109</v>
      </c>
    </row>
    <row r="125" spans="1:1" ht="30" customHeight="1">
      <c r="A125" s="30" t="s">
        <v>110</v>
      </c>
    </row>
    <row r="126" spans="1:1">
      <c r="A126" s="111" t="s">
        <v>111</v>
      </c>
    </row>
    <row r="127" spans="1:1" ht="30.75" customHeight="1">
      <c r="A127" s="30" t="s">
        <v>112</v>
      </c>
    </row>
    <row r="128" spans="1:1">
      <c r="A128" s="111" t="s">
        <v>113</v>
      </c>
    </row>
    <row r="129" spans="1:1" ht="27">
      <c r="A129" s="30" t="s">
        <v>114</v>
      </c>
    </row>
    <row r="130" spans="1:1">
      <c r="A130" s="111" t="s">
        <v>115</v>
      </c>
    </row>
    <row r="131" spans="1:1" ht="17.25" customHeight="1">
      <c r="A131" s="30" t="s">
        <v>116</v>
      </c>
    </row>
    <row r="132" spans="1:1" ht="13.7" customHeight="1">
      <c r="A132" s="111" t="s">
        <v>117</v>
      </c>
    </row>
    <row r="133" spans="1:1" ht="17.25" customHeight="1">
      <c r="A133" s="30" t="s">
        <v>118</v>
      </c>
    </row>
    <row r="134" spans="1:1">
      <c r="A134" s="111" t="s">
        <v>119</v>
      </c>
    </row>
    <row r="135" spans="1:1" ht="81">
      <c r="A135" s="120" t="s">
        <v>120</v>
      </c>
    </row>
    <row r="136" spans="1:1">
      <c r="A136" s="111" t="s">
        <v>121</v>
      </c>
    </row>
    <row r="137" spans="1:1" ht="30.75" customHeight="1">
      <c r="A137" s="30" t="s">
        <v>122</v>
      </c>
    </row>
    <row r="138" spans="1:1">
      <c r="A138" s="111" t="s">
        <v>123</v>
      </c>
    </row>
    <row r="139" spans="1:1" ht="30.6" customHeight="1">
      <c r="A139" s="30" t="s">
        <v>124</v>
      </c>
    </row>
    <row r="140" spans="1:1">
      <c r="A140" s="111" t="s">
        <v>125</v>
      </c>
    </row>
    <row r="141" spans="1:1" ht="16.5" customHeight="1">
      <c r="A141" s="30" t="s">
        <v>126</v>
      </c>
    </row>
    <row r="142" spans="1:1" s="28" customFormat="1">
      <c r="A142" s="111" t="s">
        <v>127</v>
      </c>
    </row>
    <row r="143" spans="1:1" s="28" customFormat="1" ht="31.5" customHeight="1">
      <c r="A143" s="30" t="s">
        <v>128</v>
      </c>
    </row>
    <row r="144" spans="1:1">
      <c r="A144" s="111" t="s">
        <v>129</v>
      </c>
    </row>
    <row r="145" spans="1:1" ht="27">
      <c r="A145" s="30" t="s">
        <v>130</v>
      </c>
    </row>
    <row r="146" spans="1:1">
      <c r="A146" s="111" t="s">
        <v>131</v>
      </c>
    </row>
    <row r="147" spans="1:1" ht="13.5">
      <c r="A147" s="30" t="s">
        <v>132</v>
      </c>
    </row>
    <row r="148" spans="1:1" ht="14.25" thickBot="1">
      <c r="A148" s="30"/>
    </row>
    <row r="149" spans="1:1" ht="13.5" thickBot="1">
      <c r="A149" s="59" t="s">
        <v>133</v>
      </c>
    </row>
    <row r="150" spans="1:1" ht="40.5">
      <c r="A150" s="30" t="s">
        <v>134</v>
      </c>
    </row>
    <row r="151" spans="1:1" ht="18" thickBot="1">
      <c r="A151" s="1"/>
    </row>
    <row r="152" spans="1:1" ht="13.5" thickBot="1">
      <c r="A152" s="59" t="s">
        <v>135</v>
      </c>
    </row>
    <row r="153" spans="1:1" ht="40.5">
      <c r="A153" s="30" t="s">
        <v>136</v>
      </c>
    </row>
    <row r="154" spans="1:1" ht="40.5">
      <c r="A154" s="30" t="s">
        <v>137</v>
      </c>
    </row>
    <row r="155" spans="1:1" ht="14.25" thickBot="1">
      <c r="A155" s="30"/>
    </row>
    <row r="156" spans="1:1" ht="13.5" thickBot="1">
      <c r="A156" s="59" t="s">
        <v>138</v>
      </c>
    </row>
    <row r="157" spans="1:1" ht="66" customHeight="1">
      <c r="A157" s="30" t="s">
        <v>139</v>
      </c>
    </row>
    <row r="158" spans="1:1">
      <c r="A158" s="57" t="s">
        <v>140</v>
      </c>
    </row>
    <row r="159" spans="1:1" ht="13.5">
      <c r="A159" s="27" t="s">
        <v>141</v>
      </c>
    </row>
    <row r="160" spans="1:1" ht="40.5">
      <c r="A160" s="30" t="s">
        <v>142</v>
      </c>
    </row>
  </sheetData>
  <sheetProtection selectLockedCells="1"/>
  <pageMargins left="0.27559055118110237" right="0.19685039370078741" top="0.43307086614173229" bottom="0.39370078740157483" header="0.31496062992125984" footer="0.31496062992125984"/>
  <pageSetup paperSize="9" scale="46" fitToHeight="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A110"/>
  <sheetViews>
    <sheetView tabSelected="1" topLeftCell="B1" zoomScale="90" zoomScaleNormal="90" workbookViewId="0">
      <selection activeCell="W94" sqref="W94"/>
    </sheetView>
  </sheetViews>
  <sheetFormatPr defaultColWidth="9.140625" defaultRowHeight="13.5"/>
  <cols>
    <col min="1" max="1" width="2.85546875" style="155" customWidth="1"/>
    <col min="2" max="2" width="52" style="3" customWidth="1"/>
    <col min="3" max="3" width="1.85546875" style="3" customWidth="1"/>
    <col min="4" max="4" width="20.5703125" style="153" customWidth="1"/>
    <col min="5" max="5" width="8.5703125" style="153" customWidth="1"/>
    <col min="6" max="6" width="2.42578125" style="153" customWidth="1"/>
    <col min="7" max="7" width="1.85546875" style="3" customWidth="1"/>
    <col min="8" max="8" width="20.5703125" style="3" customWidth="1"/>
    <col min="9" max="9" width="8.7109375" style="3" bestFit="1" customWidth="1"/>
    <col min="10" max="10" width="2.42578125" style="3" customWidth="1"/>
    <col min="11" max="11" width="1.85546875" style="3" customWidth="1"/>
    <col min="12" max="12" width="20.5703125" style="3" customWidth="1"/>
    <col min="13" max="13" width="8.7109375" style="3" bestFit="1" customWidth="1"/>
    <col min="14" max="14" width="2.42578125" style="3" customWidth="1"/>
    <col min="15" max="15" width="1.85546875" style="3" customWidth="1"/>
    <col min="16" max="16" width="20.5703125" style="3" customWidth="1"/>
    <col min="17" max="17" width="8.7109375" style="3" bestFit="1" customWidth="1"/>
    <col min="18" max="18" width="2.42578125" style="3" customWidth="1"/>
    <col min="19" max="19" width="1.85546875" style="3" customWidth="1"/>
    <col min="20" max="20" width="20.5703125" style="3" customWidth="1"/>
    <col min="21" max="21" width="8.7109375" style="3" bestFit="1" customWidth="1"/>
    <col min="22" max="26" width="9.140625" style="3"/>
    <col min="27" max="27" width="11.85546875" style="156" bestFit="1" customWidth="1"/>
    <col min="28" max="16384" width="9.140625" style="3"/>
  </cols>
  <sheetData>
    <row r="1" spans="1:27" ht="34.5">
      <c r="B1" s="227" t="s">
        <v>143</v>
      </c>
      <c r="C1" s="227"/>
      <c r="D1" s="227"/>
      <c r="E1" s="227"/>
      <c r="F1" s="227"/>
      <c r="G1" s="227"/>
      <c r="H1" s="227"/>
      <c r="I1" s="227"/>
      <c r="J1" s="227"/>
      <c r="K1" s="227"/>
      <c r="L1" s="227"/>
      <c r="M1" s="227"/>
      <c r="N1" s="227"/>
      <c r="O1" s="227"/>
      <c r="P1" s="227"/>
      <c r="Q1" s="227"/>
      <c r="R1" s="227"/>
      <c r="S1" s="227"/>
      <c r="T1" s="227"/>
      <c r="U1" s="227"/>
    </row>
    <row r="2" spans="1:27" ht="6.75" customHeight="1">
      <c r="A2" s="4"/>
      <c r="B2" s="4"/>
      <c r="C2" s="4"/>
      <c r="D2" s="157"/>
      <c r="E2" s="157"/>
      <c r="F2" s="157"/>
      <c r="G2" s="155"/>
      <c r="H2" s="155"/>
      <c r="O2" s="155"/>
      <c r="P2" s="155"/>
    </row>
    <row r="3" spans="1:27" ht="25.5">
      <c r="B3" s="228" t="s">
        <v>144</v>
      </c>
      <c r="C3" s="228"/>
      <c r="D3" s="228"/>
      <c r="E3" s="228"/>
      <c r="F3" s="228"/>
      <c r="G3" s="228"/>
      <c r="H3" s="228"/>
      <c r="I3" s="228"/>
      <c r="J3" s="228"/>
      <c r="K3" s="228"/>
      <c r="L3" s="228"/>
      <c r="M3" s="228"/>
      <c r="N3" s="228"/>
      <c r="O3" s="228"/>
      <c r="P3" s="228"/>
      <c r="Q3" s="228"/>
      <c r="R3" s="228"/>
      <c r="S3" s="228"/>
      <c r="T3" s="228"/>
      <c r="U3" s="228"/>
    </row>
    <row r="4" spans="1:27" ht="7.5" customHeight="1">
      <c r="A4" s="4"/>
      <c r="B4" s="4"/>
      <c r="C4" s="4"/>
      <c r="D4" s="157"/>
      <c r="E4" s="157"/>
      <c r="F4" s="157"/>
      <c r="G4" s="155"/>
      <c r="H4" s="155"/>
      <c r="O4" s="155"/>
      <c r="P4" s="155"/>
    </row>
    <row r="5" spans="1:27" ht="18" customHeight="1" thickBot="1">
      <c r="A5" s="158"/>
      <c r="B5" s="4"/>
      <c r="C5" s="229" t="s">
        <v>145</v>
      </c>
      <c r="D5" s="229"/>
      <c r="E5" s="229"/>
      <c r="F5" s="159"/>
      <c r="G5" s="229" t="s">
        <v>146</v>
      </c>
      <c r="H5" s="229"/>
      <c r="I5" s="229"/>
      <c r="K5" s="229" t="s">
        <v>147</v>
      </c>
      <c r="L5" s="229"/>
      <c r="M5" s="229"/>
      <c r="O5" s="229" t="s">
        <v>148</v>
      </c>
      <c r="P5" s="229"/>
      <c r="Q5" s="229"/>
      <c r="S5" s="229" t="s">
        <v>149</v>
      </c>
      <c r="T5" s="229"/>
      <c r="U5" s="229"/>
    </row>
    <row r="6" spans="1:27" ht="18">
      <c r="B6" s="5" t="s">
        <v>9</v>
      </c>
      <c r="C6" s="6"/>
      <c r="D6" s="160" t="s">
        <v>150</v>
      </c>
      <c r="E6" s="161" t="s">
        <v>151</v>
      </c>
      <c r="F6" s="162"/>
      <c r="G6" s="163"/>
      <c r="H6" s="160" t="s">
        <v>150</v>
      </c>
      <c r="I6" s="161"/>
      <c r="J6" s="164"/>
      <c r="K6" s="163"/>
      <c r="L6" s="160" t="s">
        <v>150</v>
      </c>
      <c r="M6" s="161"/>
      <c r="N6" s="164"/>
      <c r="O6" s="163"/>
      <c r="P6" s="160" t="s">
        <v>150</v>
      </c>
      <c r="Q6" s="161"/>
      <c r="R6" s="164"/>
      <c r="S6" s="163"/>
      <c r="T6" s="160" t="s">
        <v>150</v>
      </c>
      <c r="U6" s="165"/>
    </row>
    <row r="7" spans="1:27" ht="6.6" customHeight="1">
      <c r="C7" s="7"/>
      <c r="D7" s="166"/>
      <c r="E7" s="8"/>
      <c r="F7" s="9"/>
      <c r="G7" s="167"/>
      <c r="H7" s="166"/>
      <c r="I7" s="8"/>
      <c r="J7" s="10"/>
      <c r="K7" s="167"/>
      <c r="L7" s="166"/>
      <c r="M7" s="8"/>
      <c r="N7" s="10"/>
      <c r="O7" s="167"/>
      <c r="P7" s="166"/>
      <c r="Q7" s="8"/>
      <c r="R7" s="10"/>
      <c r="S7" s="167"/>
      <c r="T7" s="166"/>
      <c r="U7" s="8"/>
    </row>
    <row r="8" spans="1:27" s="175" customFormat="1" ht="16.5">
      <c r="A8" s="168"/>
      <c r="B8" s="11" t="s">
        <v>152</v>
      </c>
      <c r="C8" s="169"/>
      <c r="D8" s="170">
        <v>-4264000</v>
      </c>
      <c r="E8" s="171">
        <f>D8/D13</f>
        <v>0.90358126721763088</v>
      </c>
      <c r="F8" s="172"/>
      <c r="G8" s="173"/>
      <c r="H8" s="170">
        <v>-4562480</v>
      </c>
      <c r="I8" s="171">
        <f>H8/H13</f>
        <v>1</v>
      </c>
      <c r="J8" s="174"/>
      <c r="K8" s="173"/>
      <c r="L8" s="170">
        <v>-4790605</v>
      </c>
      <c r="M8" s="171">
        <f>L8/L13</f>
        <v>1</v>
      </c>
      <c r="N8" s="174"/>
      <c r="O8" s="173"/>
      <c r="P8" s="170">
        <v>-5030135</v>
      </c>
      <c r="Q8" s="171">
        <f>P8/P13</f>
        <v>1</v>
      </c>
      <c r="R8" s="174"/>
      <c r="S8" s="173"/>
      <c r="T8" s="170">
        <v>-5281640</v>
      </c>
      <c r="U8" s="171">
        <f>T8/T13</f>
        <v>1</v>
      </c>
      <c r="AA8" s="176"/>
    </row>
    <row r="9" spans="1:27" s="175" customFormat="1" ht="16.5">
      <c r="A9" s="168"/>
      <c r="B9" s="177" t="s">
        <v>153</v>
      </c>
      <c r="C9" s="169"/>
      <c r="D9" s="178">
        <v>-455000</v>
      </c>
      <c r="E9" s="171">
        <f>D9/D13</f>
        <v>9.6418732782369149E-2</v>
      </c>
      <c r="F9" s="172"/>
      <c r="G9" s="173"/>
      <c r="H9" s="178"/>
      <c r="I9" s="171">
        <f>H9/H13</f>
        <v>0</v>
      </c>
      <c r="J9" s="174"/>
      <c r="K9" s="173"/>
      <c r="L9" s="178"/>
      <c r="M9" s="171">
        <f>L9/L13</f>
        <v>0</v>
      </c>
      <c r="N9" s="174"/>
      <c r="O9" s="173"/>
      <c r="P9" s="178"/>
      <c r="Q9" s="171">
        <f>P9/P13</f>
        <v>0</v>
      </c>
      <c r="R9" s="174"/>
      <c r="S9" s="173"/>
      <c r="T9" s="178"/>
      <c r="U9" s="171">
        <f>T9/T13</f>
        <v>0</v>
      </c>
      <c r="AA9" s="176"/>
    </row>
    <row r="10" spans="1:27" s="175" customFormat="1" ht="16.5" hidden="1">
      <c r="A10" s="168"/>
      <c r="B10" s="177" t="s">
        <v>154</v>
      </c>
      <c r="C10" s="169"/>
      <c r="D10" s="178"/>
      <c r="E10" s="171">
        <f>D10/D13</f>
        <v>0</v>
      </c>
      <c r="F10" s="172"/>
      <c r="G10" s="173"/>
      <c r="H10" s="178"/>
      <c r="I10" s="171">
        <f>H10/H13</f>
        <v>0</v>
      </c>
      <c r="J10" s="174"/>
      <c r="K10" s="173"/>
      <c r="L10" s="178"/>
      <c r="M10" s="171">
        <f>L10/L13</f>
        <v>0</v>
      </c>
      <c r="N10" s="174"/>
      <c r="O10" s="173"/>
      <c r="P10" s="178"/>
      <c r="Q10" s="171">
        <f>P10/P13</f>
        <v>0</v>
      </c>
      <c r="R10" s="174"/>
      <c r="S10" s="173"/>
      <c r="T10" s="178"/>
      <c r="U10" s="171">
        <f>T10/T13</f>
        <v>0</v>
      </c>
      <c r="AA10" s="176"/>
    </row>
    <row r="11" spans="1:27" s="175" customFormat="1" ht="16.5" hidden="1">
      <c r="A11" s="168"/>
      <c r="B11" s="177" t="s">
        <v>155</v>
      </c>
      <c r="C11" s="169"/>
      <c r="D11" s="179"/>
      <c r="E11" s="171">
        <f>D11/D13</f>
        <v>0</v>
      </c>
      <c r="F11" s="172"/>
      <c r="G11" s="173"/>
      <c r="H11" s="179"/>
      <c r="I11" s="171">
        <f>H11/H13</f>
        <v>0</v>
      </c>
      <c r="J11" s="174"/>
      <c r="K11" s="173"/>
      <c r="L11" s="179"/>
      <c r="M11" s="171">
        <f>L11/L13</f>
        <v>0</v>
      </c>
      <c r="N11" s="174"/>
      <c r="O11" s="173"/>
      <c r="P11" s="179"/>
      <c r="Q11" s="171">
        <f>P11/P13</f>
        <v>0</v>
      </c>
      <c r="R11" s="174"/>
      <c r="S11" s="173"/>
      <c r="T11" s="179"/>
      <c r="U11" s="171">
        <f>T11/T13</f>
        <v>0</v>
      </c>
      <c r="AA11" s="176"/>
    </row>
    <row r="12" spans="1:27" s="175" customFormat="1" ht="8.4499999999999993" customHeight="1" thickBot="1">
      <c r="A12" s="180"/>
      <c r="B12" s="3"/>
      <c r="C12" s="181"/>
      <c r="D12" s="21"/>
      <c r="E12" s="8"/>
      <c r="F12" s="172"/>
      <c r="G12" s="173"/>
      <c r="H12" s="21"/>
      <c r="I12" s="8"/>
      <c r="J12" s="174"/>
      <c r="K12" s="173"/>
      <c r="L12" s="21"/>
      <c r="M12" s="8"/>
      <c r="N12" s="174"/>
      <c r="O12" s="173"/>
      <c r="P12" s="21"/>
      <c r="Q12" s="8"/>
      <c r="R12" s="174"/>
      <c r="S12" s="173"/>
      <c r="T12" s="21"/>
      <c r="U12" s="8"/>
      <c r="AA12" s="176"/>
    </row>
    <row r="13" spans="1:27" ht="19.5" thickBot="1">
      <c r="B13" s="13" t="s">
        <v>156</v>
      </c>
      <c r="C13" s="14"/>
      <c r="D13" s="182">
        <f>SUM(D8:D12)</f>
        <v>-4719000</v>
      </c>
      <c r="E13" s="171">
        <f>SUM(E8:E12)</f>
        <v>1</v>
      </c>
      <c r="F13" s="15"/>
      <c r="G13" s="183"/>
      <c r="H13" s="182">
        <f>SUM(H8:H12)</f>
        <v>-4562480</v>
      </c>
      <c r="I13" s="171">
        <f>SUM(I8:I12)</f>
        <v>1</v>
      </c>
      <c r="J13" s="10"/>
      <c r="K13" s="183"/>
      <c r="L13" s="182">
        <f>SUM(L8:L12)</f>
        <v>-4790605</v>
      </c>
      <c r="M13" s="171">
        <f>SUM(M8:M12)</f>
        <v>1</v>
      </c>
      <c r="N13" s="10"/>
      <c r="O13" s="183"/>
      <c r="P13" s="182">
        <f>SUM(P8:P12)</f>
        <v>-5030135</v>
      </c>
      <c r="Q13" s="171">
        <f>SUM(Q8:Q12)</f>
        <v>1</v>
      </c>
      <c r="R13" s="10"/>
      <c r="S13" s="183"/>
      <c r="T13" s="182">
        <f>SUM(T8:T12)</f>
        <v>-5281640</v>
      </c>
      <c r="U13" s="171">
        <f>SUM(U8:U12)</f>
        <v>1</v>
      </c>
    </row>
    <row r="14" spans="1:27" ht="10.35" customHeight="1" thickBot="1">
      <c r="C14" s="7"/>
      <c r="D14" s="166"/>
      <c r="E14" s="8"/>
      <c r="F14" s="9"/>
      <c r="G14" s="167"/>
      <c r="H14" s="166"/>
      <c r="I14" s="8"/>
      <c r="J14" s="10"/>
      <c r="K14" s="167"/>
      <c r="L14" s="166"/>
      <c r="M14" s="8"/>
      <c r="N14" s="10"/>
      <c r="O14" s="167"/>
      <c r="P14" s="166"/>
      <c r="Q14" s="8"/>
      <c r="R14" s="10"/>
      <c r="S14" s="167"/>
      <c r="T14" s="166"/>
      <c r="U14" s="8"/>
    </row>
    <row r="15" spans="1:27" ht="4.5" customHeight="1" thickBot="1">
      <c r="C15" s="16"/>
      <c r="D15" s="184"/>
      <c r="E15" s="48"/>
      <c r="F15" s="9"/>
      <c r="G15" s="185"/>
      <c r="H15" s="184"/>
      <c r="I15" s="48"/>
      <c r="J15" s="10"/>
      <c r="K15" s="185"/>
      <c r="L15" s="184"/>
      <c r="M15" s="48"/>
      <c r="N15" s="10"/>
      <c r="O15" s="185"/>
      <c r="P15" s="184"/>
      <c r="Q15" s="48"/>
      <c r="R15" s="10"/>
      <c r="S15" s="185"/>
      <c r="T15" s="184"/>
      <c r="U15" s="48"/>
    </row>
    <row r="16" spans="1:27" s="175" customFormat="1" ht="18">
      <c r="A16" s="158"/>
      <c r="B16" s="5" t="s">
        <v>13</v>
      </c>
      <c r="C16" s="186"/>
      <c r="D16" s="160" t="s">
        <v>150</v>
      </c>
      <c r="E16" s="40" t="s">
        <v>151</v>
      </c>
      <c r="F16" s="162"/>
      <c r="G16" s="163"/>
      <c r="H16" s="160" t="s">
        <v>150</v>
      </c>
      <c r="I16" s="40"/>
      <c r="J16" s="164"/>
      <c r="K16" s="163"/>
      <c r="L16" s="160" t="s">
        <v>150</v>
      </c>
      <c r="M16" s="40"/>
      <c r="N16" s="164"/>
      <c r="O16" s="163"/>
      <c r="P16" s="160" t="s">
        <v>150</v>
      </c>
      <c r="Q16" s="40"/>
      <c r="R16" s="164"/>
      <c r="S16" s="163"/>
      <c r="T16" s="160" t="s">
        <v>150</v>
      </c>
      <c r="U16" s="187"/>
      <c r="AA16" s="176"/>
    </row>
    <row r="17" spans="1:27" s="175" customFormat="1" ht="6" customHeight="1">
      <c r="A17" s="155"/>
      <c r="B17" s="3"/>
      <c r="C17" s="181"/>
      <c r="D17" s="188"/>
      <c r="E17" s="51"/>
      <c r="F17" s="189"/>
      <c r="G17" s="190"/>
      <c r="H17" s="188"/>
      <c r="I17" s="51"/>
      <c r="J17" s="191"/>
      <c r="K17" s="190"/>
      <c r="L17" s="188"/>
      <c r="M17" s="192"/>
      <c r="N17" s="191"/>
      <c r="O17" s="190"/>
      <c r="P17" s="188"/>
      <c r="Q17" s="51"/>
      <c r="R17" s="191"/>
      <c r="S17" s="190"/>
      <c r="T17" s="188"/>
      <c r="U17" s="193"/>
      <c r="AA17" s="176"/>
    </row>
    <row r="18" spans="1:27" s="175" customFormat="1" ht="16.5">
      <c r="A18" s="168"/>
      <c r="B18" s="11" t="s">
        <v>157</v>
      </c>
      <c r="C18" s="169"/>
      <c r="D18" s="31">
        <f>SUM(D19:D23)</f>
        <v>1035240</v>
      </c>
      <c r="E18" s="17">
        <f>D18/$D$97</f>
        <v>0.21937698664971392</v>
      </c>
      <c r="F18" s="194"/>
      <c r="G18" s="183"/>
      <c r="H18" s="31">
        <f>SUM(H19:H23)</f>
        <v>1107704.8</v>
      </c>
      <c r="I18" s="17">
        <f>+H18/$H$97</f>
        <v>0.24278566200055704</v>
      </c>
      <c r="J18" s="10"/>
      <c r="K18" s="183"/>
      <c r="L18" s="31">
        <f>SUM(L19:L23)</f>
        <v>1185250.1360000002</v>
      </c>
      <c r="M18" s="17">
        <f>+L18/$L$97</f>
        <v>0.24741137040585839</v>
      </c>
      <c r="N18" s="10"/>
      <c r="O18" s="183"/>
      <c r="P18" s="31">
        <f>SUM(P19:P23)</f>
        <v>1268231</v>
      </c>
      <c r="Q18" s="17">
        <f>+P18/$P$97</f>
        <v>0.25212663268145691</v>
      </c>
      <c r="R18" s="10"/>
      <c r="S18" s="183"/>
      <c r="T18" s="31">
        <f>SUM(T19:T23)</f>
        <v>1357006</v>
      </c>
      <c r="U18" s="17">
        <f>+T18/$T$97</f>
        <v>0.25692890833839988</v>
      </c>
      <c r="AA18" s="176"/>
    </row>
    <row r="19" spans="1:27" s="175" customFormat="1" ht="16.5">
      <c r="A19" s="155"/>
      <c r="B19" s="10" t="s">
        <v>158</v>
      </c>
      <c r="C19" s="181"/>
      <c r="D19" s="170">
        <v>826740</v>
      </c>
      <c r="E19" s="54"/>
      <c r="F19" s="195"/>
      <c r="G19" s="173"/>
      <c r="H19" s="170">
        <f>D19*1.07-2</f>
        <v>884609.8</v>
      </c>
      <c r="I19" s="54"/>
      <c r="J19" s="174"/>
      <c r="K19" s="173"/>
      <c r="L19" s="170">
        <f>H19*1.07+3</f>
        <v>946535.48600000015</v>
      </c>
      <c r="M19" s="54"/>
      <c r="N19" s="174"/>
      <c r="O19" s="173"/>
      <c r="P19" s="170">
        <f>1012795+1</f>
        <v>1012796</v>
      </c>
      <c r="Q19" s="54"/>
      <c r="R19" s="174"/>
      <c r="S19" s="173"/>
      <c r="T19" s="170">
        <v>1083690</v>
      </c>
      <c r="U19" s="54"/>
      <c r="AA19" s="176"/>
    </row>
    <row r="20" spans="1:27" s="175" customFormat="1" ht="16.5">
      <c r="A20" s="155"/>
      <c r="B20" s="19" t="s">
        <v>159</v>
      </c>
      <c r="C20" s="181"/>
      <c r="D20" s="178">
        <v>122000</v>
      </c>
      <c r="E20" s="54"/>
      <c r="F20" s="195"/>
      <c r="G20" s="173"/>
      <c r="H20" s="178">
        <f t="shared" ref="H20:H22" si="0">D20*1.07</f>
        <v>130540.00000000001</v>
      </c>
      <c r="I20" s="54"/>
      <c r="J20" s="174"/>
      <c r="K20" s="173"/>
      <c r="L20" s="178">
        <f>H20*1.07+2</f>
        <v>139679.80000000002</v>
      </c>
      <c r="M20" s="54"/>
      <c r="N20" s="174"/>
      <c r="O20" s="173"/>
      <c r="P20" s="178">
        <v>149460</v>
      </c>
      <c r="Q20" s="54"/>
      <c r="R20" s="174"/>
      <c r="S20" s="173"/>
      <c r="T20" s="178">
        <v>159920</v>
      </c>
      <c r="U20" s="54"/>
      <c r="AA20" s="176"/>
    </row>
    <row r="21" spans="1:27" s="175" customFormat="1" ht="16.5" hidden="1">
      <c r="A21" s="155"/>
      <c r="B21" s="10" t="s">
        <v>160</v>
      </c>
      <c r="C21" s="181"/>
      <c r="D21" s="178"/>
      <c r="E21" s="54"/>
      <c r="F21" s="195"/>
      <c r="G21" s="173"/>
      <c r="H21" s="178">
        <f t="shared" si="0"/>
        <v>0</v>
      </c>
      <c r="I21" s="54"/>
      <c r="J21" s="174"/>
      <c r="K21" s="173"/>
      <c r="L21" s="178">
        <f t="shared" ref="L21" si="1">H21*1.07</f>
        <v>0</v>
      </c>
      <c r="M21" s="54"/>
      <c r="N21" s="174"/>
      <c r="O21" s="173"/>
      <c r="P21" s="178">
        <f t="shared" ref="P21" si="2">L21*1.07</f>
        <v>0</v>
      </c>
      <c r="Q21" s="54"/>
      <c r="R21" s="174"/>
      <c r="S21" s="173"/>
      <c r="T21" s="178">
        <f t="shared" ref="T21" si="3">P21*1.07</f>
        <v>0</v>
      </c>
      <c r="U21" s="54"/>
      <c r="AA21" s="176"/>
    </row>
    <row r="22" spans="1:27" s="175" customFormat="1" ht="16.5">
      <c r="A22" s="155"/>
      <c r="B22" s="10" t="s">
        <v>161</v>
      </c>
      <c r="C22" s="181"/>
      <c r="D22" s="178">
        <v>10000</v>
      </c>
      <c r="E22" s="54"/>
      <c r="F22" s="195"/>
      <c r="G22" s="173"/>
      <c r="H22" s="178">
        <f t="shared" si="0"/>
        <v>10700</v>
      </c>
      <c r="I22" s="54"/>
      <c r="J22" s="174"/>
      <c r="K22" s="173"/>
      <c r="L22" s="178">
        <f>H22*1.07+1</f>
        <v>11450</v>
      </c>
      <c r="M22" s="54"/>
      <c r="N22" s="174"/>
      <c r="O22" s="173"/>
      <c r="P22" s="178">
        <v>12255</v>
      </c>
      <c r="Q22" s="54"/>
      <c r="R22" s="174"/>
      <c r="S22" s="173"/>
      <c r="T22" s="178">
        <v>13116</v>
      </c>
      <c r="U22" s="54"/>
      <c r="AA22" s="176"/>
    </row>
    <row r="23" spans="1:27" s="175" customFormat="1" ht="16.5">
      <c r="A23" s="155"/>
      <c r="B23" s="10" t="s">
        <v>162</v>
      </c>
      <c r="C23" s="181"/>
      <c r="D23" s="179">
        <v>76500</v>
      </c>
      <c r="E23" s="54"/>
      <c r="F23" s="195"/>
      <c r="G23" s="173"/>
      <c r="H23" s="179">
        <f>D23*1.07</f>
        <v>81855</v>
      </c>
      <c r="I23" s="54"/>
      <c r="J23" s="174"/>
      <c r="K23" s="173"/>
      <c r="L23" s="179">
        <f>H23*1.07</f>
        <v>87584.85</v>
      </c>
      <c r="M23" s="54"/>
      <c r="N23" s="174"/>
      <c r="O23" s="173"/>
      <c r="P23" s="179">
        <v>93720</v>
      </c>
      <c r="Q23" s="54"/>
      <c r="R23" s="174"/>
      <c r="S23" s="173"/>
      <c r="T23" s="179">
        <v>100280</v>
      </c>
      <c r="U23" s="54"/>
      <c r="AA23" s="176"/>
    </row>
    <row r="24" spans="1:27" s="175" customFormat="1" ht="7.35" customHeight="1">
      <c r="A24" s="155"/>
      <c r="B24" s="3"/>
      <c r="C24" s="181"/>
      <c r="D24" s="21"/>
      <c r="E24" s="54"/>
      <c r="F24" s="195"/>
      <c r="G24" s="173"/>
      <c r="H24" s="21"/>
      <c r="I24" s="54"/>
      <c r="J24" s="174"/>
      <c r="K24" s="173"/>
      <c r="L24" s="21"/>
      <c r="M24" s="54"/>
      <c r="N24" s="174"/>
      <c r="O24" s="173"/>
      <c r="P24" s="21"/>
      <c r="Q24" s="54"/>
      <c r="R24" s="174"/>
      <c r="S24" s="173"/>
      <c r="T24" s="21"/>
      <c r="U24" s="54"/>
      <c r="AA24" s="176"/>
    </row>
    <row r="25" spans="1:27" s="175" customFormat="1" ht="16.5">
      <c r="A25" s="168"/>
      <c r="B25" s="11" t="s">
        <v>163</v>
      </c>
      <c r="C25" s="169"/>
      <c r="D25" s="31">
        <f>SUM(D26:D33)</f>
        <v>2350950</v>
      </c>
      <c r="E25" s="17">
        <f>+D25/$D$97</f>
        <v>0.49818817546090272</v>
      </c>
      <c r="F25" s="196"/>
      <c r="G25" s="183"/>
      <c r="H25" s="31">
        <f>SUM(H26:H33)</f>
        <v>2525709.5</v>
      </c>
      <c r="I25" s="17">
        <f>+H25/$H$97</f>
        <v>0.55358255464686612</v>
      </c>
      <c r="J25" s="10"/>
      <c r="K25" s="183"/>
      <c r="L25" s="31">
        <f>SUM(L26:L33)</f>
        <v>2713554.8149999999</v>
      </c>
      <c r="M25" s="17">
        <f>+L25/$L$97</f>
        <v>0.56643259938049517</v>
      </c>
      <c r="N25" s="10"/>
      <c r="O25" s="183"/>
      <c r="P25" s="31">
        <f>SUM(P26:P33)</f>
        <v>2915505.0020500002</v>
      </c>
      <c r="Q25" s="17">
        <f>+P25/$P$97</f>
        <v>0.57960770453711563</v>
      </c>
      <c r="R25" s="10"/>
      <c r="S25" s="183"/>
      <c r="T25" s="31">
        <f>SUM(T26:T33)</f>
        <v>3133245.0021935003</v>
      </c>
      <c r="U25" s="17">
        <f>+T25/$T$97</f>
        <v>0.59323335193088567</v>
      </c>
      <c r="AA25" s="176"/>
    </row>
    <row r="26" spans="1:27" s="175" customFormat="1" ht="16.5">
      <c r="A26" s="155"/>
      <c r="B26" s="10" t="s">
        <v>164</v>
      </c>
      <c r="C26" s="181"/>
      <c r="D26" s="170">
        <v>35000</v>
      </c>
      <c r="E26" s="54"/>
      <c r="F26" s="195"/>
      <c r="G26" s="173"/>
      <c r="H26" s="170">
        <f>D26*1.06</f>
        <v>37100</v>
      </c>
      <c r="I26" s="54"/>
      <c r="J26" s="174"/>
      <c r="K26" s="173"/>
      <c r="L26" s="170">
        <v>39350</v>
      </c>
      <c r="M26" s="54"/>
      <c r="N26" s="174"/>
      <c r="O26" s="173"/>
      <c r="P26" s="170">
        <v>41750</v>
      </c>
      <c r="Q26" s="54"/>
      <c r="R26" s="174"/>
      <c r="S26" s="173"/>
      <c r="T26" s="170">
        <v>44500</v>
      </c>
      <c r="U26" s="54"/>
      <c r="AA26" s="176"/>
    </row>
    <row r="27" spans="1:27" s="203" customFormat="1" ht="15.75" customHeight="1">
      <c r="A27" s="197"/>
      <c r="B27" s="18" t="s">
        <v>165</v>
      </c>
      <c r="C27" s="198"/>
      <c r="D27" s="199">
        <v>57000</v>
      </c>
      <c r="E27" s="53"/>
      <c r="F27" s="200"/>
      <c r="G27" s="201"/>
      <c r="H27" s="199">
        <f>D27*1.06+80</f>
        <v>60500</v>
      </c>
      <c r="I27" s="53"/>
      <c r="J27" s="202"/>
      <c r="K27" s="201"/>
      <c r="L27" s="199">
        <v>64150</v>
      </c>
      <c r="M27" s="53"/>
      <c r="N27" s="202"/>
      <c r="O27" s="201"/>
      <c r="P27" s="199">
        <v>68000</v>
      </c>
      <c r="Q27" s="53"/>
      <c r="R27" s="202"/>
      <c r="S27" s="201"/>
      <c r="T27" s="199">
        <v>72500</v>
      </c>
      <c r="U27" s="53"/>
      <c r="AA27" s="204"/>
    </row>
    <row r="28" spans="1:27" s="203" customFormat="1" ht="15" customHeight="1">
      <c r="A28" s="197"/>
      <c r="B28" s="18" t="s">
        <v>166</v>
      </c>
      <c r="C28" s="198"/>
      <c r="D28" s="199">
        <v>530750</v>
      </c>
      <c r="E28" s="53"/>
      <c r="F28" s="200"/>
      <c r="G28" s="201"/>
      <c r="H28" s="199">
        <f>D28*1.07+2</f>
        <v>567904.5</v>
      </c>
      <c r="I28" s="53"/>
      <c r="J28" s="202"/>
      <c r="K28" s="201"/>
      <c r="L28" s="199">
        <f>H28*1.07+2</f>
        <v>607659.81500000006</v>
      </c>
      <c r="M28" s="53"/>
      <c r="N28" s="202"/>
      <c r="O28" s="201"/>
      <c r="P28" s="199">
        <f>L28*1.07+4</f>
        <v>650200.00205000013</v>
      </c>
      <c r="Q28" s="53"/>
      <c r="R28" s="202"/>
      <c r="S28" s="201"/>
      <c r="T28" s="199">
        <f>P28*1.07-4</f>
        <v>695710.00219350017</v>
      </c>
      <c r="U28" s="53"/>
      <c r="V28" s="203" t="s">
        <v>167</v>
      </c>
      <c r="AA28" s="204"/>
    </row>
    <row r="29" spans="1:27" s="175" customFormat="1" ht="16.5">
      <c r="A29" s="155"/>
      <c r="B29" s="10" t="s">
        <v>168</v>
      </c>
      <c r="C29" s="181"/>
      <c r="D29" s="205">
        <f>1331650-6500</f>
        <v>1325150</v>
      </c>
      <c r="E29" s="54"/>
      <c r="F29" s="195"/>
      <c r="G29" s="173"/>
      <c r="H29" s="205">
        <f>D29*1.08-207</f>
        <v>1430955</v>
      </c>
      <c r="I29" s="54"/>
      <c r="J29" s="174"/>
      <c r="K29" s="173"/>
      <c r="L29" s="205">
        <f>1553240-8005</f>
        <v>1545235</v>
      </c>
      <c r="M29" s="54"/>
      <c r="N29" s="174"/>
      <c r="O29" s="173"/>
      <c r="P29" s="205">
        <f>1677500-8855</f>
        <v>1668645</v>
      </c>
      <c r="Q29" s="54"/>
      <c r="R29" s="174"/>
      <c r="S29" s="173"/>
      <c r="T29" s="205">
        <f>1811700-9765</f>
        <v>1801935</v>
      </c>
      <c r="U29" s="54"/>
      <c r="W29" s="175" t="s">
        <v>169</v>
      </c>
      <c r="AA29" s="176"/>
    </row>
    <row r="30" spans="1:27" s="175" customFormat="1" ht="16.5">
      <c r="A30" s="155"/>
      <c r="B30" s="10" t="s">
        <v>170</v>
      </c>
      <c r="C30" s="181"/>
      <c r="D30" s="178">
        <v>204050</v>
      </c>
      <c r="E30" s="54"/>
      <c r="F30" s="195"/>
      <c r="G30" s="173"/>
      <c r="H30" s="178">
        <f>D30*1.06+7</f>
        <v>216300</v>
      </c>
      <c r="I30" s="54"/>
      <c r="J30" s="174"/>
      <c r="K30" s="173"/>
      <c r="L30" s="178">
        <v>229300</v>
      </c>
      <c r="M30" s="54"/>
      <c r="N30" s="174"/>
      <c r="O30" s="173"/>
      <c r="P30" s="178">
        <v>243100</v>
      </c>
      <c r="Q30" s="54"/>
      <c r="R30" s="174"/>
      <c r="S30" s="173"/>
      <c r="T30" s="178">
        <v>257700</v>
      </c>
      <c r="U30" s="54"/>
      <c r="W30" s="175" t="s">
        <v>171</v>
      </c>
      <c r="AA30" s="176"/>
    </row>
    <row r="31" spans="1:27" s="175" customFormat="1" ht="16.5" hidden="1">
      <c r="A31" s="155"/>
      <c r="B31" s="10" t="s">
        <v>172</v>
      </c>
      <c r="C31" s="181"/>
      <c r="D31" s="178"/>
      <c r="E31" s="54"/>
      <c r="F31" s="195"/>
      <c r="G31" s="173"/>
      <c r="H31" s="178"/>
      <c r="I31" s="54"/>
      <c r="J31" s="174"/>
      <c r="K31" s="173"/>
      <c r="L31" s="178"/>
      <c r="M31" s="54"/>
      <c r="N31" s="174"/>
      <c r="O31" s="173"/>
      <c r="P31" s="178"/>
      <c r="Q31" s="54"/>
      <c r="R31" s="174"/>
      <c r="S31" s="173"/>
      <c r="T31" s="178"/>
      <c r="U31" s="54"/>
      <c r="AA31" s="176"/>
    </row>
    <row r="32" spans="1:27" s="175" customFormat="1" ht="16.5">
      <c r="A32" s="155"/>
      <c r="B32" s="10" t="s">
        <v>173</v>
      </c>
      <c r="C32" s="181"/>
      <c r="D32" s="178">
        <v>199000</v>
      </c>
      <c r="E32" s="54"/>
      <c r="F32" s="195"/>
      <c r="G32" s="173"/>
      <c r="H32" s="178">
        <f>D32*1.07+20</f>
        <v>212950</v>
      </c>
      <c r="I32" s="54"/>
      <c r="J32" s="174"/>
      <c r="K32" s="173"/>
      <c r="L32" s="178">
        <v>227860</v>
      </c>
      <c r="M32" s="54"/>
      <c r="N32" s="174"/>
      <c r="O32" s="173"/>
      <c r="P32" s="178">
        <v>243810</v>
      </c>
      <c r="Q32" s="54"/>
      <c r="R32" s="174"/>
      <c r="S32" s="173"/>
      <c r="T32" s="178">
        <v>260900</v>
      </c>
      <c r="U32" s="54"/>
      <c r="W32" s="175" t="s">
        <v>174</v>
      </c>
      <c r="AA32" s="176"/>
    </row>
    <row r="33" spans="1:27" s="175" customFormat="1" ht="16.5" hidden="1">
      <c r="A33" s="155"/>
      <c r="B33" s="10" t="s">
        <v>175</v>
      </c>
      <c r="C33" s="181"/>
      <c r="D33" s="179"/>
      <c r="E33" s="54"/>
      <c r="F33" s="195"/>
      <c r="G33" s="173"/>
      <c r="H33" s="179"/>
      <c r="I33" s="54"/>
      <c r="J33" s="174"/>
      <c r="K33" s="173"/>
      <c r="L33" s="179"/>
      <c r="M33" s="54"/>
      <c r="N33" s="174"/>
      <c r="O33" s="173"/>
      <c r="P33" s="179"/>
      <c r="Q33" s="54"/>
      <c r="R33" s="174"/>
      <c r="S33" s="173"/>
      <c r="T33" s="179"/>
      <c r="U33" s="54"/>
      <c r="AA33" s="176"/>
    </row>
    <row r="34" spans="1:27" s="175" customFormat="1" ht="7.35" customHeight="1">
      <c r="A34" s="155"/>
      <c r="B34" s="3"/>
      <c r="C34" s="181"/>
      <c r="D34" s="21"/>
      <c r="E34" s="54"/>
      <c r="F34" s="195"/>
      <c r="G34" s="173"/>
      <c r="H34" s="21"/>
      <c r="I34" s="54"/>
      <c r="J34" s="174"/>
      <c r="K34" s="173"/>
      <c r="L34" s="21"/>
      <c r="M34" s="54"/>
      <c r="N34" s="174"/>
      <c r="O34" s="173"/>
      <c r="P34" s="21"/>
      <c r="Q34" s="54"/>
      <c r="R34" s="174"/>
      <c r="S34" s="173"/>
      <c r="T34" s="21"/>
      <c r="U34" s="54"/>
      <c r="AA34" s="176"/>
    </row>
    <row r="35" spans="1:27" s="175" customFormat="1" ht="16.5">
      <c r="A35" s="168"/>
      <c r="B35" s="11" t="s">
        <v>176</v>
      </c>
      <c r="C35" s="169"/>
      <c r="D35" s="206">
        <f>329188+2</f>
        <v>329190</v>
      </c>
      <c r="E35" s="17">
        <f>+D35/$D$97</f>
        <v>6.9758423394787036E-2</v>
      </c>
      <c r="F35" s="195"/>
      <c r="G35" s="207"/>
      <c r="H35" s="206">
        <v>317180</v>
      </c>
      <c r="I35" s="17">
        <f>+H35/$H$97</f>
        <v>6.9519204280180671E-2</v>
      </c>
      <c r="J35" s="174"/>
      <c r="K35" s="207"/>
      <c r="L35" s="206">
        <v>261375</v>
      </c>
      <c r="M35" s="17">
        <f>+L35/$L$97</f>
        <v>5.4559915224368497E-2</v>
      </c>
      <c r="N35" s="174"/>
      <c r="O35" s="207"/>
      <c r="P35" s="206">
        <v>145040</v>
      </c>
      <c r="Q35" s="17">
        <f>+P35/$P$97</f>
        <v>2.8834216167337428E-2</v>
      </c>
      <c r="R35" s="174"/>
      <c r="S35" s="207"/>
      <c r="T35" s="206">
        <v>77170</v>
      </c>
      <c r="U35" s="17">
        <f>+T35/$T$97</f>
        <v>1.461099203428306E-2</v>
      </c>
      <c r="W35" s="175" t="s">
        <v>177</v>
      </c>
      <c r="AA35" s="176"/>
    </row>
    <row r="36" spans="1:27" s="175" customFormat="1" ht="16.5">
      <c r="A36" s="168"/>
      <c r="B36" s="11" t="s">
        <v>178</v>
      </c>
      <c r="C36" s="169"/>
      <c r="D36" s="206">
        <v>75000</v>
      </c>
      <c r="E36" s="17">
        <f>+D36/$D$97</f>
        <v>1.5893197711379529E-2</v>
      </c>
      <c r="F36" s="195"/>
      <c r="G36" s="207"/>
      <c r="H36" s="206">
        <f>D36*1.06+1000</f>
        <v>80500</v>
      </c>
      <c r="I36" s="17">
        <f>+H36/$H$97</f>
        <v>1.7643911799465742E-2</v>
      </c>
      <c r="J36" s="174"/>
      <c r="K36" s="207"/>
      <c r="L36" s="206">
        <f>85330+7</f>
        <v>85337</v>
      </c>
      <c r="M36" s="17">
        <f>+L36/$L$97</f>
        <v>1.7813407883316822E-2</v>
      </c>
      <c r="N36" s="174"/>
      <c r="O36" s="207"/>
      <c r="P36" s="206">
        <v>90500</v>
      </c>
      <c r="Q36" s="17">
        <f>+P36/$P$97</f>
        <v>1.7991564831384702E-2</v>
      </c>
      <c r="R36" s="174"/>
      <c r="S36" s="207"/>
      <c r="T36" s="206">
        <v>96000</v>
      </c>
      <c r="U36" s="17">
        <f>+T36/$T$97</f>
        <v>1.8176172544916078E-2</v>
      </c>
      <c r="AA36" s="176"/>
    </row>
    <row r="37" spans="1:27" s="175" customFormat="1" ht="18" customHeight="1">
      <c r="A37" s="168"/>
      <c r="B37" s="11" t="s">
        <v>179</v>
      </c>
      <c r="C37" s="169"/>
      <c r="D37" s="206"/>
      <c r="E37" s="17">
        <f>+D37/$D$97</f>
        <v>0</v>
      </c>
      <c r="F37" s="208"/>
      <c r="G37" s="207"/>
      <c r="H37" s="206"/>
      <c r="I37" s="17">
        <f>+H37/$H$97</f>
        <v>0</v>
      </c>
      <c r="J37" s="174"/>
      <c r="K37" s="207"/>
      <c r="L37" s="206"/>
      <c r="M37" s="17">
        <f>+L37/$L$97</f>
        <v>0</v>
      </c>
      <c r="N37" s="174"/>
      <c r="O37" s="207"/>
      <c r="P37" s="206"/>
      <c r="Q37" s="17">
        <f>+P37/$P$97</f>
        <v>0</v>
      </c>
      <c r="R37" s="174"/>
      <c r="S37" s="207"/>
      <c r="T37" s="206"/>
      <c r="U37" s="17">
        <f>+T37/$T$97</f>
        <v>0</v>
      </c>
      <c r="AA37" s="176"/>
    </row>
    <row r="38" spans="1:27" s="175" customFormat="1" ht="7.35" customHeight="1">
      <c r="A38" s="209"/>
      <c r="B38" s="20"/>
      <c r="C38" s="169"/>
      <c r="D38" s="206"/>
      <c r="E38" s="17"/>
      <c r="F38" s="195"/>
      <c r="G38" s="207"/>
      <c r="H38" s="206"/>
      <c r="I38" s="17"/>
      <c r="J38" s="174"/>
      <c r="K38" s="207"/>
      <c r="L38" s="206"/>
      <c r="M38" s="17"/>
      <c r="N38" s="174"/>
      <c r="O38" s="207"/>
      <c r="P38" s="206"/>
      <c r="Q38" s="17"/>
      <c r="R38" s="174"/>
      <c r="S38" s="207"/>
      <c r="T38" s="206"/>
      <c r="U38" s="17"/>
      <c r="AA38" s="176"/>
    </row>
    <row r="39" spans="1:27" s="175" customFormat="1" ht="16.5">
      <c r="A39" s="168"/>
      <c r="B39" s="11" t="s">
        <v>180</v>
      </c>
      <c r="C39" s="169"/>
      <c r="D39" s="31">
        <f>SUM(D40:D74)</f>
        <v>345700</v>
      </c>
      <c r="E39" s="17">
        <f>+D39/$D$97</f>
        <v>7.3257045984318717E-2</v>
      </c>
      <c r="F39" s="194"/>
      <c r="G39" s="183"/>
      <c r="H39" s="31">
        <f>SUM(H40:H74)</f>
        <v>377750</v>
      </c>
      <c r="I39" s="17">
        <f>+H39/$H$97</f>
        <v>8.2794878040350114E-2</v>
      </c>
      <c r="J39" s="10"/>
      <c r="K39" s="183"/>
      <c r="L39" s="31">
        <f>SUM(L40:L74)</f>
        <v>401370</v>
      </c>
      <c r="M39" s="17">
        <f>+L39/$L$97</f>
        <v>8.3782738110396104E-2</v>
      </c>
      <c r="N39" s="10"/>
      <c r="O39" s="183"/>
      <c r="P39" s="31">
        <f>SUM(P40:P74)</f>
        <v>426465</v>
      </c>
      <c r="Q39" s="17">
        <f>+P39/$P$97</f>
        <v>8.4782018738303613E-2</v>
      </c>
      <c r="R39" s="10"/>
      <c r="S39" s="183"/>
      <c r="T39" s="31">
        <f>SUM(T40:T74)</f>
        <v>459770</v>
      </c>
      <c r="U39" s="17">
        <f>+T39/$T$97</f>
        <v>8.7050613031000687E-2</v>
      </c>
      <c r="AA39" s="176"/>
    </row>
    <row r="40" spans="1:27" s="175" customFormat="1" ht="16.5">
      <c r="A40" s="180"/>
      <c r="B40" s="10" t="s">
        <v>63</v>
      </c>
      <c r="C40" s="181"/>
      <c r="D40" s="170">
        <v>84000</v>
      </c>
      <c r="E40" s="54"/>
      <c r="F40" s="195"/>
      <c r="G40" s="173"/>
      <c r="H40" s="170">
        <f>D40*1.07</f>
        <v>89880</v>
      </c>
      <c r="I40" s="54"/>
      <c r="J40" s="174"/>
      <c r="K40" s="173"/>
      <c r="L40" s="170">
        <v>96170</v>
      </c>
      <c r="M40" s="54"/>
      <c r="N40" s="174"/>
      <c r="O40" s="173"/>
      <c r="P40" s="170">
        <v>102905</v>
      </c>
      <c r="Q40" s="54"/>
      <c r="R40" s="174"/>
      <c r="S40" s="173"/>
      <c r="T40" s="170">
        <v>110110</v>
      </c>
      <c r="U40" s="54"/>
      <c r="AA40" s="176"/>
    </row>
    <row r="41" spans="1:27" s="175" customFormat="1" ht="16.5">
      <c r="A41" s="180"/>
      <c r="B41" s="10" t="s">
        <v>65</v>
      </c>
      <c r="C41" s="181"/>
      <c r="D41" s="178"/>
      <c r="E41" s="54"/>
      <c r="F41" s="195"/>
      <c r="G41" s="173"/>
      <c r="H41" s="178"/>
      <c r="I41" s="54"/>
      <c r="J41" s="174"/>
      <c r="K41" s="173"/>
      <c r="L41" s="178"/>
      <c r="M41" s="54"/>
      <c r="N41" s="174"/>
      <c r="O41" s="173"/>
      <c r="P41" s="178"/>
      <c r="Q41" s="54"/>
      <c r="R41" s="174"/>
      <c r="S41" s="173"/>
      <c r="T41" s="178"/>
      <c r="U41" s="54"/>
      <c r="AA41" s="176"/>
    </row>
    <row r="42" spans="1:27" s="175" customFormat="1" ht="16.5">
      <c r="A42" s="180"/>
      <c r="B42" s="10" t="s">
        <v>67</v>
      </c>
      <c r="C42" s="181"/>
      <c r="D42" s="178">
        <v>7500</v>
      </c>
      <c r="E42" s="54"/>
      <c r="F42" s="195"/>
      <c r="G42" s="173"/>
      <c r="H42" s="178">
        <f>D42*1.06</f>
        <v>7950</v>
      </c>
      <c r="I42" s="54"/>
      <c r="J42" s="174"/>
      <c r="K42" s="173"/>
      <c r="L42" s="178">
        <v>8450</v>
      </c>
      <c r="M42" s="54"/>
      <c r="N42" s="174"/>
      <c r="O42" s="173"/>
      <c r="P42" s="178">
        <f>L42*1.06-7</f>
        <v>8950</v>
      </c>
      <c r="Q42" s="54"/>
      <c r="R42" s="174"/>
      <c r="S42" s="173"/>
      <c r="T42" s="178">
        <v>9500</v>
      </c>
      <c r="U42" s="54"/>
      <c r="AA42" s="176"/>
    </row>
    <row r="43" spans="1:27" s="175" customFormat="1" ht="16.5">
      <c r="A43" s="180"/>
      <c r="B43" s="10" t="s">
        <v>69</v>
      </c>
      <c r="C43" s="181"/>
      <c r="D43" s="178">
        <v>20000</v>
      </c>
      <c r="E43" s="54"/>
      <c r="F43" s="195"/>
      <c r="G43" s="173"/>
      <c r="H43" s="178">
        <f t="shared" ref="H43:H48" si="4">D43*1.06</f>
        <v>21200</v>
      </c>
      <c r="I43" s="54"/>
      <c r="J43" s="174"/>
      <c r="K43" s="173"/>
      <c r="L43" s="178">
        <v>22500</v>
      </c>
      <c r="M43" s="54"/>
      <c r="N43" s="174"/>
      <c r="O43" s="173"/>
      <c r="P43" s="178">
        <f>L43*1.06+150</f>
        <v>24000</v>
      </c>
      <c r="Q43" s="54"/>
      <c r="R43" s="174"/>
      <c r="S43" s="173"/>
      <c r="T43" s="178">
        <v>25450</v>
      </c>
      <c r="U43" s="54"/>
      <c r="AA43" s="176"/>
    </row>
    <row r="44" spans="1:27" s="175" customFormat="1" ht="16.5">
      <c r="A44" s="180"/>
      <c r="B44" s="10" t="s">
        <v>71</v>
      </c>
      <c r="C44" s="181"/>
      <c r="D44" s="178">
        <v>4500</v>
      </c>
      <c r="E44" s="54"/>
      <c r="F44" s="195"/>
      <c r="G44" s="173"/>
      <c r="H44" s="178">
        <f>D44*1.06+30</f>
        <v>4800</v>
      </c>
      <c r="I44" s="54"/>
      <c r="J44" s="174"/>
      <c r="K44" s="173"/>
      <c r="L44" s="178">
        <v>5100</v>
      </c>
      <c r="M44" s="54"/>
      <c r="N44" s="174"/>
      <c r="O44" s="173"/>
      <c r="P44" s="178">
        <f>L44*1.06-6</f>
        <v>5400</v>
      </c>
      <c r="Q44" s="54"/>
      <c r="R44" s="174"/>
      <c r="S44" s="173"/>
      <c r="T44" s="178">
        <v>5750</v>
      </c>
      <c r="U44" s="54"/>
      <c r="AA44" s="176"/>
    </row>
    <row r="45" spans="1:27" s="175" customFormat="1" ht="16.5" hidden="1">
      <c r="A45" s="180"/>
      <c r="B45" s="10" t="s">
        <v>73</v>
      </c>
      <c r="C45" s="181"/>
      <c r="D45" s="178"/>
      <c r="E45" s="54"/>
      <c r="F45" s="195"/>
      <c r="G45" s="173"/>
      <c r="H45" s="178"/>
      <c r="I45" s="54"/>
      <c r="J45" s="174"/>
      <c r="K45" s="173"/>
      <c r="L45" s="178"/>
      <c r="M45" s="54"/>
      <c r="N45" s="174"/>
      <c r="O45" s="173"/>
      <c r="P45" s="178"/>
      <c r="Q45" s="54"/>
      <c r="R45" s="174"/>
      <c r="S45" s="173"/>
      <c r="T45" s="178"/>
      <c r="U45" s="54"/>
      <c r="AA45" s="176"/>
    </row>
    <row r="46" spans="1:27" s="175" customFormat="1" ht="16.5">
      <c r="A46" s="180"/>
      <c r="B46" s="10" t="s">
        <v>75</v>
      </c>
      <c r="C46" s="181"/>
      <c r="D46" s="178">
        <v>0</v>
      </c>
      <c r="E46" s="54"/>
      <c r="F46" s="195"/>
      <c r="G46" s="173"/>
      <c r="H46" s="178">
        <f t="shared" si="4"/>
        <v>0</v>
      </c>
      <c r="I46" s="54"/>
      <c r="J46" s="174"/>
      <c r="K46" s="173"/>
      <c r="L46" s="178">
        <v>0</v>
      </c>
      <c r="M46" s="54"/>
      <c r="N46" s="174"/>
      <c r="O46" s="173"/>
      <c r="P46" s="178">
        <f t="shared" ref="P46" si="5">L46*1.06</f>
        <v>0</v>
      </c>
      <c r="Q46" s="54"/>
      <c r="R46" s="174"/>
      <c r="S46" s="173"/>
      <c r="T46" s="178">
        <v>0</v>
      </c>
      <c r="U46" s="54"/>
      <c r="AA46" s="176"/>
    </row>
    <row r="47" spans="1:27" s="175" customFormat="1" ht="16.5" hidden="1">
      <c r="A47" s="180"/>
      <c r="B47" s="10" t="s">
        <v>181</v>
      </c>
      <c r="C47" s="181"/>
      <c r="D47" s="178"/>
      <c r="E47" s="54"/>
      <c r="F47" s="195"/>
      <c r="G47" s="173"/>
      <c r="H47" s="178"/>
      <c r="I47" s="54"/>
      <c r="J47" s="174"/>
      <c r="K47" s="173"/>
      <c r="L47" s="178"/>
      <c r="M47" s="54"/>
      <c r="N47" s="174"/>
      <c r="O47" s="173"/>
      <c r="P47" s="178"/>
      <c r="Q47" s="54"/>
      <c r="R47" s="174"/>
      <c r="S47" s="173"/>
      <c r="T47" s="178"/>
      <c r="U47" s="54"/>
      <c r="AA47" s="176"/>
    </row>
    <row r="48" spans="1:27" s="175" customFormat="1" ht="16.5">
      <c r="A48" s="180"/>
      <c r="B48" s="10" t="s">
        <v>79</v>
      </c>
      <c r="C48" s="181"/>
      <c r="D48" s="178">
        <v>5000</v>
      </c>
      <c r="E48" s="54"/>
      <c r="F48" s="195"/>
      <c r="G48" s="173"/>
      <c r="H48" s="178">
        <f t="shared" si="4"/>
        <v>5300</v>
      </c>
      <c r="I48" s="54"/>
      <c r="J48" s="174"/>
      <c r="K48" s="173"/>
      <c r="L48" s="178">
        <v>5650</v>
      </c>
      <c r="M48" s="54"/>
      <c r="N48" s="174"/>
      <c r="O48" s="173"/>
      <c r="P48" s="178">
        <f>L48*1.06+11</f>
        <v>6000</v>
      </c>
      <c r="Q48" s="54"/>
      <c r="R48" s="174"/>
      <c r="S48" s="173"/>
      <c r="T48" s="178">
        <v>6400</v>
      </c>
      <c r="U48" s="54"/>
      <c r="AA48" s="176"/>
    </row>
    <row r="49" spans="1:27" s="175" customFormat="1" ht="16.5">
      <c r="A49" s="180"/>
      <c r="B49" s="10" t="s">
        <v>81</v>
      </c>
      <c r="C49" s="181"/>
      <c r="D49" s="178">
        <v>6000</v>
      </c>
      <c r="E49" s="54"/>
      <c r="F49" s="195"/>
      <c r="G49" s="173"/>
      <c r="H49" s="178">
        <f>D49*1.06+40</f>
        <v>6400</v>
      </c>
      <c r="I49" s="54"/>
      <c r="J49" s="174"/>
      <c r="K49" s="173"/>
      <c r="L49" s="178">
        <v>6800</v>
      </c>
      <c r="M49" s="54"/>
      <c r="N49" s="174"/>
      <c r="O49" s="173"/>
      <c r="P49" s="178">
        <f>L49*1.06+2</f>
        <v>7210</v>
      </c>
      <c r="Q49" s="54"/>
      <c r="R49" s="174"/>
      <c r="S49" s="173"/>
      <c r="T49" s="178">
        <v>7650</v>
      </c>
      <c r="U49" s="54"/>
      <c r="AA49" s="176"/>
    </row>
    <row r="50" spans="1:27" s="175" customFormat="1" ht="16.5" hidden="1">
      <c r="A50" s="180"/>
      <c r="B50" s="10" t="s">
        <v>83</v>
      </c>
      <c r="C50" s="181"/>
      <c r="D50" s="178"/>
      <c r="E50" s="54"/>
      <c r="F50" s="195"/>
      <c r="G50" s="173"/>
      <c r="H50" s="178"/>
      <c r="I50" s="54"/>
      <c r="J50" s="174"/>
      <c r="K50" s="173"/>
      <c r="L50" s="178"/>
      <c r="M50" s="54"/>
      <c r="N50" s="174"/>
      <c r="O50" s="173"/>
      <c r="P50" s="178"/>
      <c r="Q50" s="54"/>
      <c r="R50" s="174"/>
      <c r="S50" s="173"/>
      <c r="T50" s="178"/>
      <c r="U50" s="54"/>
      <c r="AA50" s="176"/>
    </row>
    <row r="51" spans="1:27" s="175" customFormat="1" ht="16.5" hidden="1">
      <c r="A51" s="180"/>
      <c r="B51" s="10" t="s">
        <v>85</v>
      </c>
      <c r="C51" s="181"/>
      <c r="D51" s="178"/>
      <c r="E51" s="54"/>
      <c r="F51" s="195"/>
      <c r="G51" s="173"/>
      <c r="H51" s="178"/>
      <c r="I51" s="54"/>
      <c r="J51" s="174"/>
      <c r="K51" s="173"/>
      <c r="L51" s="178"/>
      <c r="M51" s="54"/>
      <c r="N51" s="174"/>
      <c r="O51" s="173"/>
      <c r="P51" s="178"/>
      <c r="Q51" s="54"/>
      <c r="R51" s="174"/>
      <c r="S51" s="173"/>
      <c r="T51" s="178"/>
      <c r="U51" s="54"/>
      <c r="AA51" s="176"/>
    </row>
    <row r="52" spans="1:27" s="175" customFormat="1" ht="16.5">
      <c r="A52" s="180"/>
      <c r="B52" s="10" t="s">
        <v>87</v>
      </c>
      <c r="C52" s="181"/>
      <c r="D52" s="178">
        <v>2500</v>
      </c>
      <c r="E52" s="54"/>
      <c r="F52" s="195"/>
      <c r="G52" s="173"/>
      <c r="H52" s="178">
        <v>7500</v>
      </c>
      <c r="I52" s="54"/>
      <c r="J52" s="174"/>
      <c r="K52" s="173"/>
      <c r="L52" s="178">
        <v>7500</v>
      </c>
      <c r="M52" s="54"/>
      <c r="N52" s="174"/>
      <c r="O52" s="173"/>
      <c r="P52" s="178">
        <v>7500</v>
      </c>
      <c r="Q52" s="54"/>
      <c r="R52" s="174"/>
      <c r="S52" s="173"/>
      <c r="T52" s="178">
        <v>12500</v>
      </c>
      <c r="U52" s="54"/>
      <c r="AA52" s="176"/>
    </row>
    <row r="53" spans="1:27" s="175" customFormat="1" ht="16.5" hidden="1">
      <c r="A53" s="180"/>
      <c r="B53" s="10" t="s">
        <v>89</v>
      </c>
      <c r="C53" s="181"/>
      <c r="D53" s="178"/>
      <c r="E53" s="54"/>
      <c r="F53" s="195"/>
      <c r="G53" s="173"/>
      <c r="H53" s="178"/>
      <c r="I53" s="54"/>
      <c r="J53" s="174"/>
      <c r="K53" s="173"/>
      <c r="L53" s="178"/>
      <c r="M53" s="54"/>
      <c r="N53" s="174"/>
      <c r="O53" s="173"/>
      <c r="P53" s="178"/>
      <c r="Q53" s="54"/>
      <c r="R53" s="174"/>
      <c r="S53" s="173"/>
      <c r="T53" s="178"/>
      <c r="U53" s="54"/>
      <c r="AA53" s="176"/>
    </row>
    <row r="54" spans="1:27" s="175" customFormat="1" ht="16.5">
      <c r="A54" s="180"/>
      <c r="B54" s="10" t="s">
        <v>91</v>
      </c>
      <c r="C54" s="181"/>
      <c r="D54" s="178">
        <v>23000</v>
      </c>
      <c r="E54" s="54"/>
      <c r="F54" s="195"/>
      <c r="G54" s="173"/>
      <c r="H54" s="178">
        <f>D54*1.06+20</f>
        <v>24400</v>
      </c>
      <c r="I54" s="54"/>
      <c r="J54" s="174"/>
      <c r="K54" s="173"/>
      <c r="L54" s="178">
        <v>26000</v>
      </c>
      <c r="M54" s="54"/>
      <c r="N54" s="174"/>
      <c r="O54" s="173"/>
      <c r="P54" s="178">
        <f>L54*1.06+40</f>
        <v>27600</v>
      </c>
      <c r="Q54" s="54"/>
      <c r="R54" s="174"/>
      <c r="S54" s="173"/>
      <c r="T54" s="178">
        <v>29300</v>
      </c>
      <c r="U54" s="54"/>
      <c r="AA54" s="176"/>
    </row>
    <row r="55" spans="1:27" s="175" customFormat="1" ht="16.5" hidden="1">
      <c r="A55" s="180"/>
      <c r="B55" s="10" t="s">
        <v>93</v>
      </c>
      <c r="C55" s="181"/>
      <c r="D55" s="178"/>
      <c r="E55" s="54"/>
      <c r="F55" s="195"/>
      <c r="G55" s="173"/>
      <c r="H55" s="178"/>
      <c r="I55" s="54"/>
      <c r="J55" s="174"/>
      <c r="K55" s="173"/>
      <c r="L55" s="178"/>
      <c r="M55" s="54"/>
      <c r="N55" s="174"/>
      <c r="O55" s="173"/>
      <c r="P55" s="178"/>
      <c r="Q55" s="54"/>
      <c r="R55" s="174"/>
      <c r="S55" s="173"/>
      <c r="T55" s="178"/>
      <c r="U55" s="54"/>
      <c r="AA55" s="176"/>
    </row>
    <row r="56" spans="1:27" s="175" customFormat="1" ht="16.5" hidden="1">
      <c r="A56" s="180"/>
      <c r="B56" s="10" t="s">
        <v>95</v>
      </c>
      <c r="C56" s="181"/>
      <c r="D56" s="178"/>
      <c r="E56" s="54"/>
      <c r="F56" s="195"/>
      <c r="G56" s="173"/>
      <c r="H56" s="178"/>
      <c r="I56" s="54"/>
      <c r="J56" s="174"/>
      <c r="K56" s="173"/>
      <c r="L56" s="178"/>
      <c r="M56" s="54"/>
      <c r="N56" s="174"/>
      <c r="O56" s="173"/>
      <c r="P56" s="178"/>
      <c r="Q56" s="54"/>
      <c r="R56" s="174"/>
      <c r="S56" s="173"/>
      <c r="T56" s="178"/>
      <c r="U56" s="54"/>
      <c r="AA56" s="176"/>
    </row>
    <row r="57" spans="1:27" s="175" customFormat="1" ht="16.5">
      <c r="A57" s="180"/>
      <c r="B57" s="10" t="s">
        <v>97</v>
      </c>
      <c r="C57" s="181"/>
      <c r="D57" s="178">
        <v>52000</v>
      </c>
      <c r="E57" s="54"/>
      <c r="F57" s="195"/>
      <c r="G57" s="173"/>
      <c r="H57" s="178">
        <f>D57*1.06+380</f>
        <v>55500</v>
      </c>
      <c r="I57" s="54"/>
      <c r="J57" s="174"/>
      <c r="K57" s="173"/>
      <c r="L57" s="178">
        <v>58850</v>
      </c>
      <c r="M57" s="54"/>
      <c r="N57" s="174"/>
      <c r="O57" s="173"/>
      <c r="P57" s="178">
        <f>L57*1.06+119</f>
        <v>62500</v>
      </c>
      <c r="Q57" s="54"/>
      <c r="R57" s="174"/>
      <c r="S57" s="173"/>
      <c r="T57" s="178">
        <v>66500</v>
      </c>
      <c r="U57" s="54"/>
      <c r="AA57" s="176"/>
    </row>
    <row r="58" spans="1:27" s="175" customFormat="1" ht="17.45" customHeight="1">
      <c r="A58" s="180"/>
      <c r="B58" s="10" t="s">
        <v>99</v>
      </c>
      <c r="C58" s="181"/>
      <c r="D58" s="178">
        <v>5000</v>
      </c>
      <c r="E58" s="54"/>
      <c r="F58" s="195"/>
      <c r="G58" s="173"/>
      <c r="H58" s="178">
        <f t="shared" ref="H58" si="6">D58*1.06</f>
        <v>5300</v>
      </c>
      <c r="I58" s="54"/>
      <c r="J58" s="174"/>
      <c r="K58" s="173"/>
      <c r="L58" s="178">
        <v>5650</v>
      </c>
      <c r="M58" s="54"/>
      <c r="N58" s="174"/>
      <c r="O58" s="173"/>
      <c r="P58" s="178">
        <f>L58*1.06+11</f>
        <v>6000</v>
      </c>
      <c r="Q58" s="54"/>
      <c r="R58" s="174"/>
      <c r="S58" s="173"/>
      <c r="T58" s="178">
        <v>6360</v>
      </c>
      <c r="U58" s="54"/>
      <c r="AA58" s="176"/>
    </row>
    <row r="59" spans="1:27" s="175" customFormat="1" ht="16.5" hidden="1">
      <c r="A59" s="180"/>
      <c r="B59" s="10" t="s">
        <v>101</v>
      </c>
      <c r="C59" s="181"/>
      <c r="D59" s="178"/>
      <c r="E59" s="54"/>
      <c r="F59" s="195"/>
      <c r="G59" s="173"/>
      <c r="H59" s="178"/>
      <c r="I59" s="54"/>
      <c r="J59" s="174"/>
      <c r="K59" s="173"/>
      <c r="L59" s="178"/>
      <c r="M59" s="54"/>
      <c r="N59" s="174"/>
      <c r="O59" s="173"/>
      <c r="P59" s="178"/>
      <c r="Q59" s="54"/>
      <c r="R59" s="174"/>
      <c r="S59" s="173"/>
      <c r="T59" s="178"/>
      <c r="U59" s="54"/>
      <c r="AA59" s="176"/>
    </row>
    <row r="60" spans="1:27" s="175" customFormat="1" ht="16.5">
      <c r="A60" s="180"/>
      <c r="B60" s="10" t="s">
        <v>103</v>
      </c>
      <c r="C60" s="181"/>
      <c r="D60" s="178">
        <v>66000</v>
      </c>
      <c r="E60" s="54"/>
      <c r="F60" s="195"/>
      <c r="G60" s="173"/>
      <c r="H60" s="178">
        <f>D60*1.06+40</f>
        <v>70000</v>
      </c>
      <c r="I60" s="54"/>
      <c r="J60" s="174"/>
      <c r="K60" s="173"/>
      <c r="L60" s="178">
        <v>74200</v>
      </c>
      <c r="M60" s="54"/>
      <c r="N60" s="174"/>
      <c r="O60" s="173"/>
      <c r="P60" s="178">
        <f>L60*1.06+48</f>
        <v>78700</v>
      </c>
      <c r="Q60" s="54"/>
      <c r="R60" s="174"/>
      <c r="S60" s="173"/>
      <c r="T60" s="178">
        <v>83450</v>
      </c>
      <c r="U60" s="54"/>
      <c r="AA60" s="176"/>
    </row>
    <row r="61" spans="1:27" s="175" customFormat="1" ht="16.5">
      <c r="A61" s="180"/>
      <c r="B61" s="10" t="s">
        <v>105</v>
      </c>
      <c r="C61" s="181"/>
      <c r="D61" s="178"/>
      <c r="E61" s="54"/>
      <c r="F61" s="195"/>
      <c r="G61" s="173"/>
      <c r="H61" s="178"/>
      <c r="I61" s="54"/>
      <c r="J61" s="174"/>
      <c r="K61" s="173"/>
      <c r="L61" s="178"/>
      <c r="M61" s="54"/>
      <c r="N61" s="174"/>
      <c r="O61" s="173"/>
      <c r="P61" s="178"/>
      <c r="Q61" s="54"/>
      <c r="R61" s="174"/>
      <c r="S61" s="173"/>
      <c r="T61" s="178"/>
      <c r="U61" s="54"/>
      <c r="V61" s="175" t="s">
        <v>182</v>
      </c>
      <c r="AA61" s="176"/>
    </row>
    <row r="62" spans="1:27" s="175" customFormat="1" ht="16.5" hidden="1">
      <c r="A62" s="180"/>
      <c r="B62" s="10" t="s">
        <v>107</v>
      </c>
      <c r="C62" s="181"/>
      <c r="D62" s="178"/>
      <c r="E62" s="54"/>
      <c r="F62" s="195"/>
      <c r="G62" s="173"/>
      <c r="H62" s="178"/>
      <c r="I62" s="54"/>
      <c r="J62" s="174"/>
      <c r="K62" s="173"/>
      <c r="L62" s="178"/>
      <c r="M62" s="54"/>
      <c r="N62" s="174"/>
      <c r="O62" s="173"/>
      <c r="P62" s="178"/>
      <c r="Q62" s="54"/>
      <c r="R62" s="174"/>
      <c r="S62" s="173"/>
      <c r="T62" s="178"/>
      <c r="U62" s="54"/>
      <c r="AA62" s="176"/>
    </row>
    <row r="63" spans="1:27" s="175" customFormat="1" ht="16.5" hidden="1">
      <c r="A63" s="180"/>
      <c r="B63" s="10" t="s">
        <v>109</v>
      </c>
      <c r="C63" s="181"/>
      <c r="D63" s="178"/>
      <c r="E63" s="54"/>
      <c r="F63" s="195"/>
      <c r="G63" s="173"/>
      <c r="H63" s="178"/>
      <c r="I63" s="54"/>
      <c r="J63" s="174"/>
      <c r="K63" s="173"/>
      <c r="L63" s="178"/>
      <c r="M63" s="54"/>
      <c r="N63" s="174"/>
      <c r="O63" s="173"/>
      <c r="P63" s="178"/>
      <c r="Q63" s="54"/>
      <c r="R63" s="174"/>
      <c r="S63" s="173"/>
      <c r="T63" s="178"/>
      <c r="U63" s="54"/>
      <c r="AA63" s="176"/>
    </row>
    <row r="64" spans="1:27" s="175" customFormat="1" ht="16.5">
      <c r="A64" s="180"/>
      <c r="B64" s="10" t="s">
        <v>111</v>
      </c>
      <c r="C64" s="181"/>
      <c r="D64" s="178">
        <v>6500</v>
      </c>
      <c r="E64" s="54"/>
      <c r="F64" s="195"/>
      <c r="G64" s="173"/>
      <c r="H64" s="178">
        <f>D64*1.06+110</f>
        <v>7000</v>
      </c>
      <c r="I64" s="54"/>
      <c r="J64" s="174"/>
      <c r="K64" s="173"/>
      <c r="L64" s="178">
        <v>7450</v>
      </c>
      <c r="M64" s="54"/>
      <c r="N64" s="174"/>
      <c r="O64" s="173"/>
      <c r="P64" s="178">
        <f>L64*1.06+3</f>
        <v>7900</v>
      </c>
      <c r="Q64" s="54"/>
      <c r="R64" s="174"/>
      <c r="S64" s="173"/>
      <c r="T64" s="178">
        <v>8500</v>
      </c>
      <c r="U64" s="54"/>
      <c r="W64" s="175" t="s">
        <v>183</v>
      </c>
      <c r="AA64" s="176"/>
    </row>
    <row r="65" spans="1:27" s="175" customFormat="1" ht="16.5">
      <c r="A65" s="180"/>
      <c r="B65" s="10" t="s">
        <v>113</v>
      </c>
      <c r="C65" s="181"/>
      <c r="D65" s="178">
        <v>20000</v>
      </c>
      <c r="E65" s="54"/>
      <c r="F65" s="195"/>
      <c r="G65" s="173"/>
      <c r="H65" s="178">
        <f t="shared" ref="H65" si="7">D65*1.06</f>
        <v>21200</v>
      </c>
      <c r="I65" s="54"/>
      <c r="J65" s="174"/>
      <c r="K65" s="173"/>
      <c r="L65" s="178">
        <v>22500</v>
      </c>
      <c r="M65" s="54"/>
      <c r="N65" s="174"/>
      <c r="O65" s="173"/>
      <c r="P65" s="178">
        <f>L65*1.06+50</f>
        <v>23900</v>
      </c>
      <c r="Q65" s="54"/>
      <c r="R65" s="174"/>
      <c r="S65" s="173"/>
      <c r="T65" s="178">
        <v>26000</v>
      </c>
      <c r="U65" s="54"/>
      <c r="AA65" s="176"/>
    </row>
    <row r="66" spans="1:27" s="175" customFormat="1" ht="16.5" hidden="1">
      <c r="A66" s="180"/>
      <c r="B66" s="10" t="s">
        <v>184</v>
      </c>
      <c r="C66" s="181"/>
      <c r="D66" s="178"/>
      <c r="E66" s="54"/>
      <c r="F66" s="195"/>
      <c r="G66" s="173"/>
      <c r="H66" s="178"/>
      <c r="I66" s="54"/>
      <c r="J66" s="174"/>
      <c r="K66" s="173"/>
      <c r="L66" s="178"/>
      <c r="M66" s="54"/>
      <c r="N66" s="174"/>
      <c r="O66" s="173"/>
      <c r="P66" s="178"/>
      <c r="Q66" s="54"/>
      <c r="R66" s="174"/>
      <c r="S66" s="173"/>
      <c r="T66" s="178"/>
      <c r="U66" s="54"/>
      <c r="AA66" s="176"/>
    </row>
    <row r="67" spans="1:27" s="175" customFormat="1" ht="16.5">
      <c r="A67" s="180"/>
      <c r="B67" s="10" t="s">
        <v>185</v>
      </c>
      <c r="C67" s="181"/>
      <c r="D67" s="178">
        <v>18000</v>
      </c>
      <c r="E67" s="54"/>
      <c r="F67" s="195"/>
      <c r="G67" s="173"/>
      <c r="H67" s="178">
        <v>24000</v>
      </c>
      <c r="I67" s="54"/>
      <c r="J67" s="174"/>
      <c r="K67" s="173"/>
      <c r="L67" s="178">
        <v>25500</v>
      </c>
      <c r="M67" s="54"/>
      <c r="N67" s="174"/>
      <c r="O67" s="173"/>
      <c r="P67" s="178">
        <f>L67*1.06-30</f>
        <v>27000</v>
      </c>
      <c r="Q67" s="54"/>
      <c r="R67" s="174"/>
      <c r="S67" s="173"/>
      <c r="T67" s="178">
        <v>29500</v>
      </c>
      <c r="U67" s="54"/>
      <c r="AA67" s="176"/>
    </row>
    <row r="68" spans="1:27" s="175" customFormat="1" ht="16.5" hidden="1">
      <c r="A68" s="180"/>
      <c r="B68" s="10" t="s">
        <v>119</v>
      </c>
      <c r="C68" s="181"/>
      <c r="D68" s="178"/>
      <c r="E68" s="54"/>
      <c r="F68" s="195"/>
      <c r="G68" s="173"/>
      <c r="H68" s="178"/>
      <c r="I68" s="54"/>
      <c r="J68" s="174"/>
      <c r="K68" s="173"/>
      <c r="L68" s="178"/>
      <c r="M68" s="54"/>
      <c r="N68" s="174"/>
      <c r="O68" s="173"/>
      <c r="P68" s="178"/>
      <c r="Q68" s="54"/>
      <c r="R68" s="174"/>
      <c r="S68" s="173"/>
      <c r="T68" s="178"/>
      <c r="U68" s="54"/>
      <c r="AA68" s="176"/>
    </row>
    <row r="69" spans="1:27" s="175" customFormat="1" ht="16.5">
      <c r="A69" s="180"/>
      <c r="B69" s="10" t="s">
        <v>121</v>
      </c>
      <c r="C69" s="181"/>
      <c r="D69" s="178">
        <v>7000</v>
      </c>
      <c r="E69" s="54"/>
      <c r="F69" s="195"/>
      <c r="G69" s="173"/>
      <c r="H69" s="178">
        <f>D69*1.06+80</f>
        <v>7500</v>
      </c>
      <c r="I69" s="54"/>
      <c r="J69" s="174"/>
      <c r="K69" s="173"/>
      <c r="L69" s="178">
        <v>8000</v>
      </c>
      <c r="M69" s="54"/>
      <c r="N69" s="174"/>
      <c r="O69" s="173"/>
      <c r="P69" s="178">
        <f>L69*1.06+20</f>
        <v>8500</v>
      </c>
      <c r="Q69" s="54"/>
      <c r="R69" s="174"/>
      <c r="S69" s="173"/>
      <c r="T69" s="178">
        <v>9000</v>
      </c>
      <c r="U69" s="54"/>
      <c r="AA69" s="176"/>
    </row>
    <row r="70" spans="1:27" s="175" customFormat="1" ht="16.5">
      <c r="A70" s="180"/>
      <c r="B70" s="10" t="s">
        <v>123</v>
      </c>
      <c r="C70" s="181"/>
      <c r="D70" s="178">
        <v>16700</v>
      </c>
      <c r="E70" s="54"/>
      <c r="F70" s="195"/>
      <c r="G70" s="173"/>
      <c r="H70" s="178">
        <f>D70*1.06-2</f>
        <v>17700</v>
      </c>
      <c r="I70" s="54"/>
      <c r="J70" s="174"/>
      <c r="K70" s="173"/>
      <c r="L70" s="178">
        <v>18800</v>
      </c>
      <c r="M70" s="54"/>
      <c r="N70" s="174"/>
      <c r="O70" s="173"/>
      <c r="P70" s="178">
        <f>L70*1.06+72</f>
        <v>20000</v>
      </c>
      <c r="Q70" s="54"/>
      <c r="R70" s="174"/>
      <c r="S70" s="173"/>
      <c r="T70" s="178">
        <v>21200</v>
      </c>
      <c r="U70" s="54"/>
      <c r="AA70" s="176"/>
    </row>
    <row r="71" spans="1:27" s="175" customFormat="1" ht="16.5" hidden="1">
      <c r="A71" s="180"/>
      <c r="B71" s="10" t="s">
        <v>125</v>
      </c>
      <c r="C71" s="181"/>
      <c r="D71" s="178"/>
      <c r="E71" s="54"/>
      <c r="F71" s="195"/>
      <c r="G71" s="173"/>
      <c r="H71" s="178"/>
      <c r="I71" s="54"/>
      <c r="J71" s="174"/>
      <c r="K71" s="173"/>
      <c r="L71" s="178"/>
      <c r="M71" s="54"/>
      <c r="N71" s="174"/>
      <c r="O71" s="173"/>
      <c r="P71" s="178"/>
      <c r="Q71" s="54"/>
      <c r="R71" s="174"/>
      <c r="S71" s="173"/>
      <c r="T71" s="178"/>
      <c r="U71" s="54"/>
      <c r="AA71" s="176"/>
    </row>
    <row r="72" spans="1:27" s="175" customFormat="1" ht="16.5" hidden="1">
      <c r="A72" s="180"/>
      <c r="B72" s="10" t="s">
        <v>127</v>
      </c>
      <c r="C72" s="181"/>
      <c r="D72" s="178"/>
      <c r="E72" s="54"/>
      <c r="F72" s="195"/>
      <c r="G72" s="173"/>
      <c r="H72" s="178"/>
      <c r="I72" s="54"/>
      <c r="J72" s="174"/>
      <c r="K72" s="173"/>
      <c r="L72" s="178"/>
      <c r="M72" s="54"/>
      <c r="N72" s="174"/>
      <c r="O72" s="173"/>
      <c r="P72" s="178"/>
      <c r="Q72" s="54"/>
      <c r="R72" s="174"/>
      <c r="S72" s="173"/>
      <c r="T72" s="178"/>
      <c r="U72" s="54"/>
      <c r="AA72" s="176"/>
    </row>
    <row r="73" spans="1:27" s="175" customFormat="1" ht="16.5">
      <c r="A73" s="180"/>
      <c r="B73" s="10" t="s">
        <v>129</v>
      </c>
      <c r="C73" s="181"/>
      <c r="D73" s="178">
        <v>2000</v>
      </c>
      <c r="E73" s="54"/>
      <c r="F73" s="195"/>
      <c r="G73" s="173"/>
      <c r="H73" s="178">
        <f t="shared" ref="H73" si="8">D73*1.06</f>
        <v>2120</v>
      </c>
      <c r="I73" s="54"/>
      <c r="J73" s="174"/>
      <c r="K73" s="173"/>
      <c r="L73" s="178">
        <v>2250</v>
      </c>
      <c r="M73" s="54"/>
      <c r="N73" s="174"/>
      <c r="O73" s="173"/>
      <c r="P73" s="178">
        <f>L73*1.06+15</f>
        <v>2400</v>
      </c>
      <c r="Q73" s="54"/>
      <c r="R73" s="174"/>
      <c r="S73" s="173"/>
      <c r="T73" s="178">
        <v>2600</v>
      </c>
      <c r="U73" s="54"/>
      <c r="AA73" s="176"/>
    </row>
    <row r="74" spans="1:27" s="175" customFormat="1" ht="16.5" hidden="1">
      <c r="A74" s="180"/>
      <c r="B74" s="10" t="s">
        <v>131</v>
      </c>
      <c r="C74" s="181"/>
      <c r="D74" s="179"/>
      <c r="E74" s="54"/>
      <c r="F74" s="195"/>
      <c r="G74" s="173"/>
      <c r="H74" s="179"/>
      <c r="I74" s="54"/>
      <c r="J74" s="174"/>
      <c r="K74" s="173"/>
      <c r="L74" s="179"/>
      <c r="M74" s="54"/>
      <c r="N74" s="174"/>
      <c r="O74" s="173"/>
      <c r="P74" s="179"/>
      <c r="Q74" s="54"/>
      <c r="R74" s="174"/>
      <c r="S74" s="173"/>
      <c r="T74" s="179"/>
      <c r="U74" s="54"/>
      <c r="AA74" s="176"/>
    </row>
    <row r="75" spans="1:27" s="175" customFormat="1" ht="7.35" customHeight="1">
      <c r="A75" s="180"/>
      <c r="B75" s="3"/>
      <c r="C75" s="181"/>
      <c r="D75" s="21"/>
      <c r="E75" s="54"/>
      <c r="F75" s="208"/>
      <c r="G75" s="173"/>
      <c r="H75" s="21"/>
      <c r="I75" s="54"/>
      <c r="J75" s="174"/>
      <c r="K75" s="173"/>
      <c r="L75" s="21"/>
      <c r="M75" s="54"/>
      <c r="N75" s="174"/>
      <c r="O75" s="173"/>
      <c r="P75" s="21"/>
      <c r="Q75" s="54"/>
      <c r="R75" s="174"/>
      <c r="S75" s="173"/>
      <c r="T75" s="21"/>
      <c r="U75" s="54"/>
      <c r="AA75" s="176"/>
    </row>
    <row r="76" spans="1:27" s="175" customFormat="1" ht="16.5">
      <c r="A76" s="168"/>
      <c r="B76" s="11" t="s">
        <v>186</v>
      </c>
      <c r="C76" s="181"/>
      <c r="D76" s="31">
        <f>SUM(D77:D81)</f>
        <v>135000</v>
      </c>
      <c r="E76" s="17">
        <f>+D76/$D$97</f>
        <v>2.8607755880483154E-2</v>
      </c>
      <c r="F76" s="194"/>
      <c r="G76" s="167"/>
      <c r="H76" s="31">
        <f>SUM(H77:H81)</f>
        <v>16762</v>
      </c>
      <c r="I76" s="17">
        <f>H76/$H$97</f>
        <v>3.673878876803041E-3</v>
      </c>
      <c r="J76" s="10"/>
      <c r="K76" s="167"/>
      <c r="L76" s="31">
        <f>SUM(L77:L81)</f>
        <v>0</v>
      </c>
      <c r="M76" s="17">
        <f>L76/$L$97</f>
        <v>0</v>
      </c>
      <c r="N76" s="10"/>
      <c r="O76" s="167"/>
      <c r="P76" s="31">
        <f>SUM(P77:P81)</f>
        <v>33490</v>
      </c>
      <c r="Q76" s="17">
        <f>P76/$P$97</f>
        <v>6.6578729967190463E-3</v>
      </c>
      <c r="R76" s="10"/>
      <c r="S76" s="167"/>
      <c r="T76" s="31">
        <f>SUM(T77:T81)</f>
        <v>0</v>
      </c>
      <c r="U76" s="17">
        <f>T76/$T$97</f>
        <v>0</v>
      </c>
      <c r="AA76" s="176"/>
    </row>
    <row r="77" spans="1:27" s="175" customFormat="1" ht="16.5">
      <c r="A77" s="180"/>
      <c r="B77" s="210" t="s">
        <v>187</v>
      </c>
      <c r="C77" s="181"/>
      <c r="D77" s="170">
        <v>0</v>
      </c>
      <c r="E77" s="54"/>
      <c r="F77" s="208"/>
      <c r="G77" s="173"/>
      <c r="H77" s="170">
        <v>16762</v>
      </c>
      <c r="I77" s="54"/>
      <c r="J77" s="174"/>
      <c r="K77" s="173"/>
      <c r="L77" s="170"/>
      <c r="M77" s="54"/>
      <c r="N77" s="174"/>
      <c r="O77" s="173"/>
      <c r="P77" s="170">
        <v>33490</v>
      </c>
      <c r="Q77" s="54"/>
      <c r="R77" s="174"/>
      <c r="S77" s="173"/>
      <c r="T77" s="170"/>
      <c r="U77" s="54"/>
      <c r="AA77" s="176"/>
    </row>
    <row r="78" spans="1:27" s="175" customFormat="1" ht="16.5">
      <c r="A78" s="180"/>
      <c r="B78" s="210" t="s">
        <v>188</v>
      </c>
      <c r="C78" s="181"/>
      <c r="D78" s="205">
        <v>135000</v>
      </c>
      <c r="E78" s="54"/>
      <c r="F78" s="208"/>
      <c r="G78" s="173"/>
      <c r="H78" s="205"/>
      <c r="I78" s="54"/>
      <c r="J78" s="174"/>
      <c r="K78" s="173"/>
      <c r="L78" s="205"/>
      <c r="M78" s="54"/>
      <c r="N78" s="174"/>
      <c r="O78" s="173"/>
      <c r="P78" s="205"/>
      <c r="Q78" s="54"/>
      <c r="R78" s="174"/>
      <c r="S78" s="173"/>
      <c r="T78" s="205"/>
      <c r="U78" s="54"/>
      <c r="AA78" s="176"/>
    </row>
    <row r="79" spans="1:27" s="175" customFormat="1" ht="16.5" hidden="1">
      <c r="A79" s="180"/>
      <c r="B79" s="210" t="s">
        <v>189</v>
      </c>
      <c r="C79" s="181"/>
      <c r="D79" s="178"/>
      <c r="E79" s="54"/>
      <c r="F79" s="208"/>
      <c r="G79" s="173"/>
      <c r="H79" s="178"/>
      <c r="I79" s="54"/>
      <c r="J79" s="174"/>
      <c r="K79" s="173"/>
      <c r="L79" s="178"/>
      <c r="M79" s="54"/>
      <c r="N79" s="174"/>
      <c r="O79" s="173"/>
      <c r="P79" s="178"/>
      <c r="Q79" s="54"/>
      <c r="R79" s="174"/>
      <c r="S79" s="173"/>
      <c r="T79" s="178"/>
      <c r="U79" s="54"/>
      <c r="AA79" s="176"/>
    </row>
    <row r="80" spans="1:27" s="175" customFormat="1" ht="16.5" hidden="1">
      <c r="A80" s="180"/>
      <c r="B80" s="210" t="s">
        <v>189</v>
      </c>
      <c r="C80" s="181"/>
      <c r="D80" s="178"/>
      <c r="E80" s="54"/>
      <c r="F80" s="208"/>
      <c r="G80" s="173"/>
      <c r="H80" s="178"/>
      <c r="I80" s="54"/>
      <c r="J80" s="174"/>
      <c r="K80" s="173"/>
      <c r="L80" s="178"/>
      <c r="M80" s="54"/>
      <c r="N80" s="174"/>
      <c r="O80" s="173"/>
      <c r="P80" s="178"/>
      <c r="Q80" s="54"/>
      <c r="R80" s="174"/>
      <c r="S80" s="173"/>
      <c r="T80" s="178"/>
      <c r="U80" s="54"/>
      <c r="AA80" s="176"/>
    </row>
    <row r="81" spans="1:27" s="175" customFormat="1" ht="16.5" hidden="1">
      <c r="A81" s="180"/>
      <c r="B81" s="210" t="s">
        <v>189</v>
      </c>
      <c r="C81" s="181"/>
      <c r="D81" s="179"/>
      <c r="E81" s="54"/>
      <c r="F81" s="208"/>
      <c r="G81" s="173"/>
      <c r="H81" s="179"/>
      <c r="I81" s="54"/>
      <c r="J81" s="174"/>
      <c r="K81" s="173"/>
      <c r="L81" s="179"/>
      <c r="M81" s="54"/>
      <c r="N81" s="174"/>
      <c r="O81" s="173"/>
      <c r="P81" s="179"/>
      <c r="Q81" s="54"/>
      <c r="R81" s="174"/>
      <c r="S81" s="173"/>
      <c r="T81" s="179"/>
      <c r="U81" s="54"/>
      <c r="AA81" s="176"/>
    </row>
    <row r="82" spans="1:27" s="175" customFormat="1" ht="5.25" customHeight="1">
      <c r="A82" s="180"/>
      <c r="B82" s="22"/>
      <c r="C82" s="181"/>
      <c r="D82" s="21"/>
      <c r="E82" s="54"/>
      <c r="F82" s="208"/>
      <c r="G82" s="173"/>
      <c r="H82" s="21"/>
      <c r="I82" s="54"/>
      <c r="J82" s="174"/>
      <c r="K82" s="173"/>
      <c r="L82" s="21"/>
      <c r="M82" s="54"/>
      <c r="N82" s="174"/>
      <c r="O82" s="173"/>
      <c r="P82" s="21"/>
      <c r="Q82" s="54"/>
      <c r="R82" s="174"/>
      <c r="S82" s="173"/>
      <c r="T82" s="21"/>
      <c r="U82" s="54"/>
      <c r="AA82" s="176"/>
    </row>
    <row r="83" spans="1:27" s="175" customFormat="1" ht="16.5">
      <c r="A83" s="168"/>
      <c r="B83" s="11" t="s">
        <v>190</v>
      </c>
      <c r="C83" s="181"/>
      <c r="D83" s="31">
        <f>SUM(D84:D93)</f>
        <v>320000</v>
      </c>
      <c r="E83" s="17">
        <f>+D83/$D$97</f>
        <v>6.7810976901885991E-2</v>
      </c>
      <c r="F83" s="194"/>
      <c r="G83" s="167"/>
      <c r="H83" s="31">
        <f>SUM(H84:H93)</f>
        <v>0</v>
      </c>
      <c r="I83" s="17">
        <f>H83/$H$97</f>
        <v>0</v>
      </c>
      <c r="J83" s="10"/>
      <c r="K83" s="167"/>
      <c r="L83" s="31">
        <f>SUM(L84:L93)</f>
        <v>0</v>
      </c>
      <c r="M83" s="17">
        <f>L83/$L$97</f>
        <v>0</v>
      </c>
      <c r="N83" s="10"/>
      <c r="O83" s="167"/>
      <c r="P83" s="31">
        <f>SUM(P84:P93)</f>
        <v>0</v>
      </c>
      <c r="Q83" s="17">
        <f>P83/$P$97</f>
        <v>0</v>
      </c>
      <c r="R83" s="10"/>
      <c r="S83" s="167"/>
      <c r="T83" s="31">
        <f>SUM(T84:T93)</f>
        <v>0</v>
      </c>
      <c r="U83" s="17">
        <f>T83/$T$97</f>
        <v>0</v>
      </c>
      <c r="V83" s="3"/>
      <c r="AA83" s="176"/>
    </row>
    <row r="84" spans="1:27" s="175" customFormat="1" ht="16.5">
      <c r="A84" s="180"/>
      <c r="B84" s="10" t="s">
        <v>191</v>
      </c>
      <c r="C84" s="181"/>
      <c r="D84" s="170">
        <v>320000</v>
      </c>
      <c r="E84" s="54"/>
      <c r="F84" s="208"/>
      <c r="G84" s="173"/>
      <c r="H84" s="170"/>
      <c r="I84" s="54"/>
      <c r="J84" s="174"/>
      <c r="K84" s="173"/>
      <c r="L84" s="170"/>
      <c r="M84" s="54"/>
      <c r="N84" s="174"/>
      <c r="O84" s="173"/>
      <c r="P84" s="170"/>
      <c r="Q84" s="54"/>
      <c r="R84" s="174"/>
      <c r="S84" s="173"/>
      <c r="T84" s="170"/>
      <c r="U84" s="54"/>
      <c r="AA84" s="176"/>
    </row>
    <row r="85" spans="1:27" s="175" customFormat="1" ht="16.5" hidden="1">
      <c r="A85" s="180"/>
      <c r="B85" s="10" t="s">
        <v>192</v>
      </c>
      <c r="C85" s="181"/>
      <c r="D85" s="205"/>
      <c r="E85" s="54"/>
      <c r="F85" s="208"/>
      <c r="G85" s="173"/>
      <c r="H85" s="205"/>
      <c r="I85" s="54"/>
      <c r="J85" s="174"/>
      <c r="K85" s="173"/>
      <c r="L85" s="205"/>
      <c r="M85" s="54"/>
      <c r="N85" s="174"/>
      <c r="O85" s="173"/>
      <c r="P85" s="205"/>
      <c r="Q85" s="54"/>
      <c r="R85" s="174"/>
      <c r="S85" s="173"/>
      <c r="T85" s="205"/>
      <c r="U85" s="54"/>
      <c r="AA85" s="176"/>
    </row>
    <row r="86" spans="1:27" s="175" customFormat="1" ht="16.5" hidden="1">
      <c r="A86" s="180"/>
      <c r="B86" s="10" t="s">
        <v>193</v>
      </c>
      <c r="C86" s="181"/>
      <c r="D86" s="178"/>
      <c r="E86" s="54"/>
      <c r="F86" s="208"/>
      <c r="G86" s="173"/>
      <c r="H86" s="178"/>
      <c r="I86" s="54"/>
      <c r="J86" s="174"/>
      <c r="K86" s="173"/>
      <c r="L86" s="178"/>
      <c r="M86" s="54"/>
      <c r="N86" s="174"/>
      <c r="O86" s="173"/>
      <c r="P86" s="178"/>
      <c r="Q86" s="54"/>
      <c r="R86" s="174"/>
      <c r="S86" s="173"/>
      <c r="T86" s="178"/>
      <c r="U86" s="54"/>
      <c r="AA86" s="176"/>
    </row>
    <row r="87" spans="1:27" s="175" customFormat="1" ht="16.5" hidden="1">
      <c r="A87" s="180"/>
      <c r="B87" s="10" t="s">
        <v>194</v>
      </c>
      <c r="C87" s="181"/>
      <c r="D87" s="178"/>
      <c r="E87" s="54"/>
      <c r="F87" s="208"/>
      <c r="G87" s="173"/>
      <c r="H87" s="178"/>
      <c r="I87" s="54"/>
      <c r="J87" s="174"/>
      <c r="K87" s="173"/>
      <c r="L87" s="178"/>
      <c r="M87" s="54"/>
      <c r="N87" s="174"/>
      <c r="O87" s="173"/>
      <c r="P87" s="178"/>
      <c r="Q87" s="54"/>
      <c r="R87" s="174"/>
      <c r="S87" s="173"/>
      <c r="T87" s="178"/>
      <c r="U87" s="54"/>
      <c r="AA87" s="176"/>
    </row>
    <row r="88" spans="1:27" s="175" customFormat="1" ht="16.5" hidden="1">
      <c r="A88" s="180"/>
      <c r="B88" s="10" t="s">
        <v>195</v>
      </c>
      <c r="C88" s="181"/>
      <c r="D88" s="178"/>
      <c r="E88" s="54"/>
      <c r="F88" s="208"/>
      <c r="G88" s="173"/>
      <c r="H88" s="178"/>
      <c r="I88" s="54"/>
      <c r="J88" s="174"/>
      <c r="K88" s="173"/>
      <c r="L88" s="178"/>
      <c r="M88" s="54"/>
      <c r="N88" s="174"/>
      <c r="O88" s="173"/>
      <c r="P88" s="178"/>
      <c r="Q88" s="54"/>
      <c r="R88" s="174"/>
      <c r="S88" s="173"/>
      <c r="T88" s="178"/>
      <c r="U88" s="54"/>
      <c r="AA88" s="176"/>
    </row>
    <row r="89" spans="1:27" s="175" customFormat="1" ht="16.5" hidden="1">
      <c r="A89" s="180"/>
      <c r="B89" s="10" t="s">
        <v>196</v>
      </c>
      <c r="C89" s="181"/>
      <c r="D89" s="178"/>
      <c r="E89" s="54"/>
      <c r="F89" s="208"/>
      <c r="G89" s="173"/>
      <c r="H89" s="178"/>
      <c r="I89" s="54"/>
      <c r="J89" s="174"/>
      <c r="K89" s="173"/>
      <c r="L89" s="178"/>
      <c r="M89" s="54"/>
      <c r="N89" s="174"/>
      <c r="O89" s="173"/>
      <c r="P89" s="178"/>
      <c r="Q89" s="54"/>
      <c r="R89" s="174"/>
      <c r="S89" s="173"/>
      <c r="T89" s="178"/>
      <c r="U89" s="54"/>
      <c r="AA89" s="176"/>
    </row>
    <row r="90" spans="1:27" s="175" customFormat="1" ht="16.5" hidden="1">
      <c r="A90" s="180"/>
      <c r="B90" s="10" t="s">
        <v>197</v>
      </c>
      <c r="C90" s="181"/>
      <c r="D90" s="178"/>
      <c r="E90" s="54"/>
      <c r="F90" s="208"/>
      <c r="G90" s="173"/>
      <c r="H90" s="178"/>
      <c r="I90" s="54"/>
      <c r="J90" s="174"/>
      <c r="K90" s="173"/>
      <c r="L90" s="178"/>
      <c r="M90" s="54"/>
      <c r="N90" s="174"/>
      <c r="O90" s="173"/>
      <c r="P90" s="178"/>
      <c r="Q90" s="54"/>
      <c r="R90" s="174"/>
      <c r="S90" s="173"/>
      <c r="T90" s="178"/>
      <c r="U90" s="54"/>
      <c r="AA90" s="176"/>
    </row>
    <row r="91" spans="1:27" s="175" customFormat="1" ht="16.5" hidden="1">
      <c r="A91" s="180"/>
      <c r="B91" s="10" t="s">
        <v>198</v>
      </c>
      <c r="C91" s="181"/>
      <c r="D91" s="178"/>
      <c r="E91" s="54"/>
      <c r="F91" s="208"/>
      <c r="G91" s="173"/>
      <c r="H91" s="178"/>
      <c r="I91" s="54"/>
      <c r="J91" s="174"/>
      <c r="K91" s="173"/>
      <c r="L91" s="178"/>
      <c r="M91" s="54"/>
      <c r="N91" s="174"/>
      <c r="O91" s="173"/>
      <c r="P91" s="178"/>
      <c r="Q91" s="54"/>
      <c r="R91" s="174"/>
      <c r="S91" s="173"/>
      <c r="T91" s="178"/>
      <c r="U91" s="54"/>
      <c r="AA91" s="176"/>
    </row>
    <row r="92" spans="1:27" s="175" customFormat="1" ht="16.5" hidden="1">
      <c r="A92" s="180"/>
      <c r="B92" s="210" t="s">
        <v>199</v>
      </c>
      <c r="C92" s="181"/>
      <c r="D92" s="178"/>
      <c r="E92" s="54"/>
      <c r="F92" s="208"/>
      <c r="G92" s="173"/>
      <c r="H92" s="178"/>
      <c r="I92" s="54"/>
      <c r="J92" s="174"/>
      <c r="K92" s="173"/>
      <c r="L92" s="178"/>
      <c r="M92" s="54"/>
      <c r="N92" s="174"/>
      <c r="O92" s="173"/>
      <c r="P92" s="178"/>
      <c r="Q92" s="54"/>
      <c r="R92" s="174"/>
      <c r="S92" s="173"/>
      <c r="T92" s="178"/>
      <c r="U92" s="54"/>
      <c r="AA92" s="176"/>
    </row>
    <row r="93" spans="1:27" s="175" customFormat="1" ht="16.5" hidden="1">
      <c r="A93" s="180"/>
      <c r="B93" s="210" t="s">
        <v>199</v>
      </c>
      <c r="C93" s="181"/>
      <c r="D93" s="179"/>
      <c r="E93" s="54"/>
      <c r="F93" s="208"/>
      <c r="G93" s="173"/>
      <c r="H93" s="179"/>
      <c r="I93" s="54"/>
      <c r="J93" s="174"/>
      <c r="K93" s="173"/>
      <c r="L93" s="179"/>
      <c r="M93" s="54"/>
      <c r="N93" s="174"/>
      <c r="O93" s="173"/>
      <c r="P93" s="179"/>
      <c r="Q93" s="54"/>
      <c r="R93" s="174"/>
      <c r="S93" s="173"/>
      <c r="T93" s="179"/>
      <c r="U93" s="54"/>
      <c r="AA93" s="176"/>
    </row>
    <row r="94" spans="1:27" s="175" customFormat="1" ht="7.35" customHeight="1">
      <c r="A94" s="180"/>
      <c r="B94" s="3"/>
      <c r="C94" s="181"/>
      <c r="D94" s="21"/>
      <c r="E94" s="54"/>
      <c r="F94" s="208"/>
      <c r="G94" s="173"/>
      <c r="H94" s="21"/>
      <c r="I94" s="54"/>
      <c r="J94" s="174"/>
      <c r="K94" s="173"/>
      <c r="L94" s="21"/>
      <c r="M94" s="54"/>
      <c r="N94" s="174"/>
      <c r="O94" s="173"/>
      <c r="P94" s="21"/>
      <c r="Q94" s="54"/>
      <c r="R94" s="174"/>
      <c r="S94" s="173"/>
      <c r="T94" s="21"/>
      <c r="U94" s="54"/>
      <c r="AA94" s="176"/>
    </row>
    <row r="95" spans="1:27" ht="16.5">
      <c r="A95" s="168"/>
      <c r="B95" s="11" t="s">
        <v>200</v>
      </c>
      <c r="C95" s="7"/>
      <c r="D95" s="23">
        <f>ROUND(((D39+D83+D37+D36+D35+D25+D18+D76+D9++D10+D11)/97*3),0)</f>
        <v>127920</v>
      </c>
      <c r="E95" s="17">
        <f>+D95/$D$97</f>
        <v>2.7107438016528925E-2</v>
      </c>
      <c r="F95" s="194"/>
      <c r="G95" s="167"/>
      <c r="H95" s="23">
        <f>ROUND(((H39+H83+H37+H36+H35+H25+H18+H76+H9++H10+H11)/97*3),0)</f>
        <v>136874</v>
      </c>
      <c r="I95" s="17">
        <f>+H95/$H$97</f>
        <v>2.9999910355777318E-2</v>
      </c>
      <c r="J95" s="10"/>
      <c r="K95" s="167"/>
      <c r="L95" s="23">
        <f>ROUND(((L39+L83+L37+L36+L35+L25+L18+L76+L9++L10+L11)/97*3),0)</f>
        <v>143718</v>
      </c>
      <c r="M95" s="17">
        <f>+L95/$L$97</f>
        <v>2.9999968995564959E-2</v>
      </c>
      <c r="N95" s="10"/>
      <c r="O95" s="167"/>
      <c r="P95" s="23">
        <f>ROUND(((P39+P83+P37+P36+P35+P25+P18+P76+P9++P10+P11)/97*3),0)</f>
        <v>150904</v>
      </c>
      <c r="Q95" s="17">
        <f>+P95/$P$97</f>
        <v>2.9999990047682619E-2</v>
      </c>
      <c r="R95" s="10"/>
      <c r="S95" s="167"/>
      <c r="T95" s="23">
        <f>ROUND(((T39+T83+T37+T36+T35+T25+T18+T76+T9++T10+T11)/97*3),0)</f>
        <v>158449</v>
      </c>
      <c r="U95" s="17">
        <f>+T95/$T$97</f>
        <v>2.9999962120514666E-2</v>
      </c>
    </row>
    <row r="96" spans="1:27" ht="10.35" customHeight="1" thickBot="1">
      <c r="C96" s="7"/>
      <c r="D96" s="211"/>
      <c r="E96" s="54"/>
      <c r="F96" s="9"/>
      <c r="G96" s="167"/>
      <c r="H96" s="211"/>
      <c r="I96" s="54"/>
      <c r="J96" s="10"/>
      <c r="K96" s="167"/>
      <c r="L96" s="211"/>
      <c r="M96" s="54"/>
      <c r="N96" s="10"/>
      <c r="O96" s="167"/>
      <c r="P96" s="211"/>
      <c r="Q96" s="54"/>
      <c r="R96" s="10"/>
      <c r="S96" s="167"/>
      <c r="T96" s="211"/>
      <c r="U96" s="54"/>
    </row>
    <row r="97" spans="1:27" ht="19.5" thickBot="1">
      <c r="A97" s="209"/>
      <c r="B97" s="13" t="s">
        <v>201</v>
      </c>
      <c r="C97" s="14"/>
      <c r="D97" s="182">
        <f>D37+D36+D35+D25+D18+D39+D95+D83+D76</f>
        <v>4719000</v>
      </c>
      <c r="E97" s="24">
        <f>SUM(E18:E96)</f>
        <v>0.99999999999999989</v>
      </c>
      <c r="F97" s="9"/>
      <c r="G97" s="183"/>
      <c r="H97" s="182">
        <f>H37+H36+H35+H25+H18+H39+H95+H83+H76</f>
        <v>4562480.3</v>
      </c>
      <c r="I97" s="24">
        <f>SUM(I18:I96)</f>
        <v>1.0000000000000002</v>
      </c>
      <c r="J97" s="10"/>
      <c r="K97" s="183"/>
      <c r="L97" s="182">
        <f>L37+L36+L35+L25+L18+L39+L95+L83+L76</f>
        <v>4790604.9510000004</v>
      </c>
      <c r="M97" s="24">
        <f>SUM(M18:M96)</f>
        <v>1</v>
      </c>
      <c r="N97" s="10"/>
      <c r="O97" s="183"/>
      <c r="P97" s="182">
        <f>P37+P36+P35+P25+P18+P39+P95+P83+P76</f>
        <v>5030135.0020500002</v>
      </c>
      <c r="Q97" s="24">
        <f>SUM(Q18:Q96)</f>
        <v>1</v>
      </c>
      <c r="R97" s="10"/>
      <c r="S97" s="183"/>
      <c r="T97" s="182">
        <f>T37+T36+T35+T25+T18+T39+T95+T83+T76</f>
        <v>5281640.0021935003</v>
      </c>
      <c r="U97" s="24">
        <f>SUM(U18:U96)</f>
        <v>1</v>
      </c>
      <c r="W97" s="137"/>
    </row>
    <row r="98" spans="1:27" ht="7.35" customHeight="1" thickBot="1">
      <c r="C98" s="25"/>
      <c r="D98" s="212"/>
      <c r="E98" s="26"/>
      <c r="F98" s="9"/>
      <c r="G98" s="213"/>
      <c r="H98" s="212"/>
      <c r="I98" s="26"/>
      <c r="J98" s="10"/>
      <c r="K98" s="213"/>
      <c r="L98" s="212"/>
      <c r="M98" s="26"/>
      <c r="N98" s="10"/>
      <c r="O98" s="213"/>
      <c r="P98" s="212"/>
      <c r="Q98" s="214"/>
      <c r="R98" s="10"/>
      <c r="S98" s="213"/>
      <c r="T98" s="212"/>
      <c r="U98" s="26"/>
    </row>
    <row r="99" spans="1:27" ht="5.85" customHeight="1">
      <c r="D99" s="166"/>
      <c r="E99" s="9"/>
      <c r="F99" s="9"/>
      <c r="G99" s="10"/>
      <c r="H99" s="166"/>
      <c r="I99" s="9"/>
      <c r="J99" s="10"/>
      <c r="K99" s="10"/>
      <c r="L99" s="166"/>
      <c r="M99" s="9"/>
      <c r="N99" s="10"/>
      <c r="O99" s="10"/>
      <c r="P99" s="166"/>
      <c r="Q99" s="9"/>
      <c r="R99" s="10"/>
      <c r="S99" s="10"/>
      <c r="T99" s="166"/>
      <c r="U99" s="9"/>
    </row>
    <row r="100" spans="1:27" ht="16.5">
      <c r="B100" s="11" t="s">
        <v>202</v>
      </c>
      <c r="C100" s="20"/>
      <c r="D100" s="215">
        <f>(D97+D13)</f>
        <v>0</v>
      </c>
      <c r="E100" s="15"/>
      <c r="F100" s="15"/>
      <c r="G100" s="216"/>
      <c r="H100" s="215">
        <f>+H97+H13</f>
        <v>0.29999999981373549</v>
      </c>
      <c r="I100" s="15"/>
      <c r="J100" s="10"/>
      <c r="K100" s="216"/>
      <c r="L100" s="215">
        <f>+L97+L13</f>
        <v>-4.8999999649822712E-2</v>
      </c>
      <c r="M100" s="15"/>
      <c r="N100" s="10"/>
      <c r="O100" s="216"/>
      <c r="P100" s="215">
        <f>+P97+P13</f>
        <v>2.0500002428889275E-3</v>
      </c>
      <c r="Q100" s="15"/>
      <c r="R100" s="10"/>
      <c r="S100" s="216"/>
      <c r="T100" s="215">
        <f>+T97+T13</f>
        <v>2.1935002878308296E-3</v>
      </c>
      <c r="U100" s="15"/>
    </row>
    <row r="101" spans="1:27" ht="8.85" customHeight="1" thickBot="1">
      <c r="D101" s="9"/>
      <c r="E101" s="9"/>
      <c r="F101" s="9"/>
      <c r="G101" s="10"/>
      <c r="H101" s="10"/>
      <c r="I101" s="10"/>
      <c r="J101" s="10"/>
      <c r="K101" s="10"/>
      <c r="L101" s="10"/>
      <c r="M101" s="10"/>
      <c r="N101" s="10"/>
      <c r="O101" s="10"/>
      <c r="P101" s="10"/>
      <c r="Q101" s="10"/>
      <c r="R101" s="10"/>
      <c r="S101" s="10"/>
      <c r="T101" s="10"/>
      <c r="U101" s="10"/>
    </row>
    <row r="102" spans="1:27" ht="15" hidden="1" customHeight="1" thickBot="1">
      <c r="D102" s="9"/>
      <c r="E102" s="9"/>
      <c r="F102" s="9"/>
      <c r="G102" s="10"/>
      <c r="H102" s="10"/>
      <c r="I102" s="10"/>
      <c r="J102" s="10"/>
      <c r="K102" s="10"/>
      <c r="L102" s="10"/>
      <c r="M102" s="10"/>
      <c r="N102" s="10"/>
      <c r="O102" s="10"/>
      <c r="P102" s="10"/>
      <c r="Q102" s="10"/>
      <c r="R102" s="10"/>
      <c r="S102" s="10"/>
      <c r="T102" s="10"/>
      <c r="U102" s="10"/>
    </row>
    <row r="103" spans="1:27" ht="15" hidden="1" customHeight="1" thickBot="1">
      <c r="D103" s="9"/>
      <c r="E103" s="9"/>
      <c r="F103" s="9"/>
      <c r="G103" s="10"/>
      <c r="H103" s="10"/>
      <c r="I103" s="10"/>
      <c r="J103" s="10"/>
      <c r="K103" s="10"/>
      <c r="L103" s="10"/>
      <c r="M103" s="10"/>
      <c r="N103" s="10"/>
      <c r="O103" s="10"/>
      <c r="P103" s="10"/>
      <c r="Q103" s="10"/>
      <c r="R103" s="10"/>
      <c r="S103" s="10"/>
      <c r="T103" s="10"/>
      <c r="U103" s="10"/>
    </row>
    <row r="104" spans="1:27" ht="19.5" thickBot="1">
      <c r="B104" s="217" t="s">
        <v>203</v>
      </c>
      <c r="D104" s="218">
        <f>D97/D110-1</f>
        <v>0.30080628488732675</v>
      </c>
      <c r="E104" s="219"/>
      <c r="F104" s="219"/>
      <c r="G104" s="219"/>
      <c r="H104" s="218">
        <f>(H97/D97)-1</f>
        <v>-3.3167980504344219E-2</v>
      </c>
      <c r="I104" s="219"/>
      <c r="J104" s="219"/>
      <c r="K104" s="219"/>
      <c r="L104" s="218">
        <f>(L97/H97)-1</f>
        <v>5.0000139397862187E-2</v>
      </c>
      <c r="M104" s="219"/>
      <c r="N104" s="219"/>
      <c r="O104" s="219"/>
      <c r="P104" s="218">
        <f>(P97/L97)-1</f>
        <v>4.9999958982215764E-2</v>
      </c>
      <c r="Q104" s="219"/>
      <c r="R104" s="219"/>
      <c r="S104" s="219"/>
      <c r="T104" s="218">
        <f>(T97/P97)-1</f>
        <v>4.9999652104963488E-2</v>
      </c>
      <c r="U104" s="10"/>
      <c r="V104" s="3" t="s">
        <v>204</v>
      </c>
    </row>
    <row r="105" spans="1:27" ht="14.25" thickBot="1">
      <c r="D105" s="220"/>
      <c r="E105" s="220"/>
      <c r="F105" s="220"/>
      <c r="G105" s="220"/>
      <c r="H105" s="220"/>
      <c r="I105" s="220"/>
      <c r="J105" s="220"/>
      <c r="K105" s="220"/>
      <c r="L105" s="220"/>
      <c r="M105" s="220"/>
      <c r="N105" s="220"/>
      <c r="O105" s="220"/>
      <c r="P105" s="220"/>
      <c r="Q105" s="220"/>
      <c r="R105" s="220"/>
      <c r="S105" s="220"/>
      <c r="T105" s="220"/>
    </row>
    <row r="106" spans="1:27" ht="19.5" thickBot="1">
      <c r="B106" s="217" t="s">
        <v>205</v>
      </c>
      <c r="D106" s="218">
        <f>D8/D109-1</f>
        <v>0.30000000000000004</v>
      </c>
      <c r="E106" s="219"/>
      <c r="F106" s="219"/>
      <c r="G106" s="219"/>
      <c r="H106" s="218">
        <f>(H8/D8)-1</f>
        <v>7.0000000000000062E-2</v>
      </c>
      <c r="I106" s="219"/>
      <c r="J106" s="219"/>
      <c r="K106" s="219"/>
      <c r="L106" s="218">
        <f>(L8/H8)-1</f>
        <v>5.000021917904296E-2</v>
      </c>
      <c r="M106" s="219"/>
      <c r="N106" s="219"/>
      <c r="O106" s="219"/>
      <c r="P106" s="218">
        <f>(P8/L8)-1</f>
        <v>4.9999947814524548E-2</v>
      </c>
      <c r="Q106" s="219"/>
      <c r="R106" s="219"/>
      <c r="S106" s="219"/>
      <c r="T106" s="218">
        <f>(T8/P8)-1</f>
        <v>4.9999652096812452E-2</v>
      </c>
      <c r="U106" s="10"/>
    </row>
    <row r="107" spans="1:27">
      <c r="D107" s="153" t="s">
        <v>151</v>
      </c>
    </row>
    <row r="109" spans="1:27" s="140" customFormat="1" ht="20.45" customHeight="1">
      <c r="A109" s="221"/>
      <c r="B109" s="222" t="s">
        <v>206</v>
      </c>
      <c r="D109" s="223">
        <v>-3280000</v>
      </c>
      <c r="E109" s="224"/>
      <c r="F109" s="224"/>
      <c r="T109" s="225"/>
      <c r="AA109" s="226"/>
    </row>
    <row r="110" spans="1:27" s="140" customFormat="1" ht="20.45" customHeight="1">
      <c r="A110" s="221"/>
      <c r="B110" s="222" t="s">
        <v>207</v>
      </c>
      <c r="D110" s="223">
        <v>3627750</v>
      </c>
      <c r="E110" s="224"/>
      <c r="F110" s="224"/>
      <c r="AA110" s="226"/>
    </row>
  </sheetData>
  <sheetProtection algorithmName="SHA-512" hashValue="aWkS+bUux4b2NG2+KGSKPe+fu+MBCM0oTxf2Fxzm6rs2XeTsuXQzU0RKCabfToaGZqm4pn8+19cDkG9XH35x1g==" saltValue="AvYaADtYGPpdIV9JeL2Zbw==" spinCount="100000" sheet="1" selectLockedCells="1"/>
  <sortState xmlns:xlrd2="http://schemas.microsoft.com/office/spreadsheetml/2017/richdata2" ref="A38:AA70">
    <sortCondition ref="B38:B70"/>
  </sortState>
  <dataConsolidate/>
  <mergeCells count="7">
    <mergeCell ref="B1:U1"/>
    <mergeCell ref="B3:U3"/>
    <mergeCell ref="C5:E5"/>
    <mergeCell ref="G5:I5"/>
    <mergeCell ref="K5:M5"/>
    <mergeCell ref="O5:Q5"/>
    <mergeCell ref="S5:U5"/>
  </mergeCells>
  <phoneticPr fontId="0" type="noConversion"/>
  <dataValidations count="4">
    <dataValidation type="whole" allowBlank="1" showErrorMessage="1" errorTitle="Income must be a credit" error="Add a minus infront of the value" sqref="T8:T11 L8:L12 H8:H11 P8:P11 D8:D11" xr:uid="{00000000-0002-0000-0100-000000000000}">
      <formula1>-9.99999999999999E+44</formula1>
      <formula2>0</formula2>
    </dataValidation>
    <dataValidation type="whole" operator="equal" showErrorMessage="1" errorTitle="Budget must balance" error="Budget is not balancing. Income and expenditure must be equal." sqref="D100 T100 L100 P100" xr:uid="{00000000-0002-0000-0100-000001000000}">
      <formula1>0</formula1>
    </dataValidation>
    <dataValidation type="whole" errorStyle="warning" operator="equal" showErrorMessage="1" errorTitle="Budget must balance" error="Budget is not balancing. Income and expenditure must be equal." sqref="H100" xr:uid="{00000000-0002-0000-0100-000002000000}">
      <formula1>0</formula1>
    </dataValidation>
    <dataValidation type="whole" errorStyle="warning" operator="equal" allowBlank="1" showErrorMessage="1" errorTitle="not zero" sqref="T109" xr:uid="{00000000-0002-0000-0100-000003000000}">
      <formula1>0</formula1>
    </dataValidation>
  </dataValidations>
  <pageMargins left="0.19685039370078741" right="0.19685039370078741" top="0.39370078740157483" bottom="0.19685039370078741" header="0.15748031496062992" footer="0.15748031496062992"/>
  <pageSetup paperSize="9" scale="57" fitToHeight="2"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M99"/>
  <sheetViews>
    <sheetView topLeftCell="A64" zoomScale="80" zoomScaleNormal="80" workbookViewId="0">
      <selection activeCell="D8" sqref="D8"/>
    </sheetView>
  </sheetViews>
  <sheetFormatPr defaultColWidth="9.140625" defaultRowHeight="12.75"/>
  <cols>
    <col min="2" max="2" width="52" customWidth="1"/>
    <col min="3" max="3" width="1.85546875" customWidth="1"/>
    <col min="4" max="4" width="15.85546875" customWidth="1"/>
    <col min="5" max="5" width="8.42578125" customWidth="1"/>
    <col min="6" max="6" width="2.140625" customWidth="1"/>
    <col min="7" max="7" width="1.85546875" customWidth="1"/>
    <col min="8" max="8" width="16" customWidth="1"/>
    <col min="9" max="9" width="8.42578125" customWidth="1"/>
    <col min="10" max="10" width="2.140625" customWidth="1"/>
    <col min="11" max="11" width="1.85546875" customWidth="1"/>
    <col min="12" max="12" width="15.85546875" customWidth="1"/>
    <col min="13" max="13" width="8.85546875" bestFit="1" customWidth="1"/>
  </cols>
  <sheetData>
    <row r="1" spans="2:13" ht="29.25">
      <c r="B1" s="231" t="str">
        <f>'Form 2'!B1:B1</f>
        <v>MUIZENBERG IMPROVEMENT DISTRICT</v>
      </c>
      <c r="C1" s="231"/>
      <c r="D1" s="231"/>
      <c r="E1" s="231"/>
      <c r="F1" s="231"/>
      <c r="G1" s="231"/>
      <c r="H1" s="231"/>
      <c r="I1" s="231"/>
      <c r="J1" s="231"/>
      <c r="K1" s="231"/>
      <c r="L1" s="231"/>
      <c r="M1" s="231"/>
    </row>
    <row r="2" spans="2:13" ht="25.5">
      <c r="B2" s="232" t="str">
        <f>'Form 2'!C5</f>
        <v>2025/26</v>
      </c>
      <c r="C2" s="233"/>
      <c r="D2" s="233"/>
      <c r="E2" s="233"/>
      <c r="F2" s="233"/>
      <c r="G2" s="233"/>
      <c r="H2" s="233"/>
      <c r="I2" s="233"/>
      <c r="J2" s="233"/>
      <c r="K2" s="233"/>
      <c r="L2" s="233"/>
      <c r="M2" s="233"/>
    </row>
    <row r="3" spans="2:13" ht="25.5">
      <c r="B3" s="228" t="s">
        <v>208</v>
      </c>
      <c r="C3" s="228"/>
      <c r="D3" s="228"/>
      <c r="E3" s="228"/>
      <c r="F3" s="228"/>
      <c r="G3" s="228"/>
      <c r="H3" s="228"/>
      <c r="I3" s="228"/>
      <c r="J3" s="228"/>
      <c r="K3" s="228"/>
      <c r="L3" s="228"/>
      <c r="M3" s="228"/>
    </row>
    <row r="4" spans="2:13" ht="9" customHeight="1"/>
    <row r="5" spans="2:13" ht="36" customHeight="1" thickBot="1">
      <c r="B5" s="4"/>
      <c r="C5" s="230" t="s">
        <v>209</v>
      </c>
      <c r="D5" s="229"/>
      <c r="E5" s="229"/>
      <c r="G5" s="229" t="s">
        <v>210</v>
      </c>
      <c r="H5" s="229"/>
      <c r="I5" s="229"/>
      <c r="K5" s="230" t="s">
        <v>211</v>
      </c>
      <c r="L5" s="229"/>
      <c r="M5" s="229"/>
    </row>
    <row r="6" spans="2:13" ht="18">
      <c r="B6" s="5" t="str">
        <f>+'Form 2'!B6</f>
        <v>INCOME</v>
      </c>
      <c r="C6" s="6"/>
      <c r="D6" s="39" t="s">
        <v>150</v>
      </c>
      <c r="E6" s="40" t="s">
        <v>151</v>
      </c>
      <c r="G6" s="6"/>
      <c r="H6" s="39" t="s">
        <v>150</v>
      </c>
      <c r="I6" s="40" t="s">
        <v>151</v>
      </c>
      <c r="K6" s="6"/>
      <c r="L6" s="39" t="s">
        <v>150</v>
      </c>
      <c r="M6" s="40" t="s">
        <v>151</v>
      </c>
    </row>
    <row r="7" spans="2:13" ht="6.75" customHeight="1">
      <c r="B7" s="3"/>
      <c r="C7" s="7"/>
      <c r="D7" s="41"/>
      <c r="E7" s="8"/>
      <c r="G7" s="7"/>
      <c r="H7" s="41"/>
      <c r="I7" s="8"/>
      <c r="K7" s="7"/>
      <c r="L7" s="41"/>
      <c r="M7" s="8"/>
    </row>
    <row r="8" spans="2:13" ht="16.5">
      <c r="B8" s="11" t="str">
        <f>+'Form 2'!B8</f>
        <v>Income from Additional Rates</v>
      </c>
      <c r="C8" s="42"/>
      <c r="D8" s="43">
        <f>+'Form 2'!D8</f>
        <v>-4264000</v>
      </c>
      <c r="E8" s="32">
        <f>D8/D12</f>
        <v>0.90358126721763088</v>
      </c>
      <c r="F8" s="44"/>
      <c r="G8" s="42"/>
      <c r="H8" s="43">
        <f>D8</f>
        <v>-4264000</v>
      </c>
      <c r="I8" s="32">
        <f>H8/H12</f>
        <v>0.90358126721763088</v>
      </c>
      <c r="J8" s="44"/>
      <c r="K8" s="42"/>
      <c r="L8" s="43">
        <f>H8-D8</f>
        <v>0</v>
      </c>
      <c r="M8" s="12">
        <f>L8/D12</f>
        <v>0</v>
      </c>
    </row>
    <row r="9" spans="2:13" ht="16.5">
      <c r="B9" s="11" t="str">
        <f>+'Form 2'!B9</f>
        <v xml:space="preserve">Other: Accumulated Surplus </v>
      </c>
      <c r="C9" s="42"/>
      <c r="D9" s="55">
        <f>+'Form 2'!D9</f>
        <v>-455000</v>
      </c>
      <c r="E9" s="32">
        <f>D9/D12</f>
        <v>9.6418732782369149E-2</v>
      </c>
      <c r="F9" s="44"/>
      <c r="G9" s="42"/>
      <c r="H9" s="55">
        <f>D9</f>
        <v>-455000</v>
      </c>
      <c r="I9" s="32">
        <f>H9/H12</f>
        <v>9.6418732782369149E-2</v>
      </c>
      <c r="J9" s="44"/>
      <c r="K9" s="42"/>
      <c r="L9" s="55">
        <f>H9-D9</f>
        <v>0</v>
      </c>
      <c r="M9" s="12">
        <f>L9/D12</f>
        <v>0</v>
      </c>
    </row>
    <row r="10" spans="2:13" ht="16.5">
      <c r="B10" s="11" t="str">
        <f>+'Form 2'!B11</f>
        <v>Other Income: Specify</v>
      </c>
      <c r="C10" s="42"/>
      <c r="D10" s="45">
        <f>+'Form 2'!D11</f>
        <v>0</v>
      </c>
      <c r="E10" s="32">
        <f>D10/D12</f>
        <v>0</v>
      </c>
      <c r="F10" s="44"/>
      <c r="G10" s="42"/>
      <c r="H10" s="45">
        <f>D10</f>
        <v>0</v>
      </c>
      <c r="I10" s="32">
        <f>H10/H12</f>
        <v>0</v>
      </c>
      <c r="J10" s="44"/>
      <c r="K10" s="42"/>
      <c r="L10" s="45">
        <f>H10-D10</f>
        <v>0</v>
      </c>
      <c r="M10" s="12">
        <f>L10/D12</f>
        <v>0</v>
      </c>
    </row>
    <row r="11" spans="2:13" ht="7.5" customHeight="1" thickBot="1">
      <c r="B11" s="3"/>
      <c r="C11" s="7"/>
      <c r="D11" s="41"/>
      <c r="E11" s="8"/>
      <c r="G11" s="7"/>
      <c r="H11" s="41"/>
      <c r="I11" s="8"/>
      <c r="K11" s="7"/>
      <c r="L11" s="41"/>
      <c r="M11" s="8"/>
    </row>
    <row r="12" spans="2:13" ht="18.75" thickBot="1">
      <c r="B12" s="13" t="str">
        <f>+'Form 2'!B13</f>
        <v>TOTAL INCOME</v>
      </c>
      <c r="C12" s="14"/>
      <c r="D12" s="46">
        <f>SUM(D8:D11)</f>
        <v>-4719000</v>
      </c>
      <c r="E12" s="12">
        <f>SUM(E8:E11)</f>
        <v>1</v>
      </c>
      <c r="G12" s="14"/>
      <c r="H12" s="46">
        <f>SUM(H8:H11)</f>
        <v>-4719000</v>
      </c>
      <c r="I12" s="12">
        <f>SUM(I8:I11)</f>
        <v>1</v>
      </c>
      <c r="K12" s="14"/>
      <c r="L12" s="46">
        <f>SUM(L8:L11)</f>
        <v>0</v>
      </c>
      <c r="M12" s="12">
        <f>SUM(M8:M11)</f>
        <v>0</v>
      </c>
    </row>
    <row r="13" spans="2:13" ht="7.5" customHeight="1" thickBot="1">
      <c r="B13" s="3"/>
      <c r="C13" s="7"/>
      <c r="D13" s="41"/>
      <c r="E13" s="8"/>
      <c r="G13" s="7"/>
      <c r="H13" s="41"/>
      <c r="I13" s="8"/>
      <c r="K13" s="7"/>
      <c r="L13" s="41"/>
      <c r="M13" s="8"/>
    </row>
    <row r="14" spans="2:13" ht="6.75" customHeight="1" thickBot="1">
      <c r="B14" s="3"/>
      <c r="C14" s="16"/>
      <c r="D14" s="47"/>
      <c r="E14" s="48"/>
      <c r="G14" s="16"/>
      <c r="H14" s="47"/>
      <c r="I14" s="48"/>
      <c r="K14" s="16"/>
      <c r="L14" s="47"/>
      <c r="M14" s="48"/>
    </row>
    <row r="15" spans="2:13" ht="18">
      <c r="B15" s="5" t="str">
        <f>+'Form 2'!B16</f>
        <v>EXPENDITURE</v>
      </c>
      <c r="C15" s="49"/>
      <c r="D15" s="39" t="s">
        <v>150</v>
      </c>
      <c r="E15" s="40" t="s">
        <v>151</v>
      </c>
      <c r="G15" s="49"/>
      <c r="H15" s="39" t="s">
        <v>150</v>
      </c>
      <c r="I15" s="40" t="s">
        <v>151</v>
      </c>
      <c r="K15" s="49"/>
      <c r="L15" s="39" t="s">
        <v>150</v>
      </c>
      <c r="M15" s="40" t="s">
        <v>151</v>
      </c>
    </row>
    <row r="16" spans="2:13" ht="6.75" customHeight="1">
      <c r="B16" s="3"/>
      <c r="C16" s="7"/>
      <c r="D16" s="50"/>
      <c r="E16" s="51"/>
      <c r="G16" s="7"/>
      <c r="H16" s="50"/>
      <c r="I16" s="51"/>
      <c r="K16" s="7"/>
      <c r="L16" s="50"/>
      <c r="M16" s="51"/>
    </row>
    <row r="17" spans="2:13" ht="15">
      <c r="B17" s="11" t="str">
        <f>+'Form 2'!B18</f>
        <v>Employee Related</v>
      </c>
      <c r="C17" s="14"/>
      <c r="D17" s="31">
        <f>SUM(D18:D22)</f>
        <v>1035240</v>
      </c>
      <c r="E17" s="17">
        <f>D17/$D$96</f>
        <v>0.21937698664971392</v>
      </c>
      <c r="G17" s="14"/>
      <c r="H17" s="31">
        <f>SUM(H18:H18:H22)</f>
        <v>1035240</v>
      </c>
      <c r="I17" s="17">
        <f>H17/$H$96</f>
        <v>0.21937698664971392</v>
      </c>
      <c r="K17" s="14"/>
      <c r="L17" s="31">
        <f>SUM(L18:L18:L22)</f>
        <v>0</v>
      </c>
      <c r="M17" s="17">
        <f>L17/$D$96</f>
        <v>0</v>
      </c>
    </row>
    <row r="18" spans="2:13" ht="16.5">
      <c r="B18" s="10" t="str">
        <f>+'Form 2'!B19</f>
        <v>Salaries and Wages</v>
      </c>
      <c r="C18" s="52"/>
      <c r="D18" s="43">
        <f>+'Form 2'!D19</f>
        <v>826740</v>
      </c>
      <c r="E18" s="53"/>
      <c r="F18" s="44"/>
      <c r="G18" s="52"/>
      <c r="H18" s="43">
        <f t="shared" ref="H18:H22" si="0">D18</f>
        <v>826740</v>
      </c>
      <c r="I18" s="53"/>
      <c r="J18" s="44"/>
      <c r="K18" s="52"/>
      <c r="L18" s="43">
        <f>H18-D18</f>
        <v>0</v>
      </c>
      <c r="M18" s="54"/>
    </row>
    <row r="19" spans="2:13" ht="18" customHeight="1">
      <c r="B19" s="19" t="str">
        <f>+'Form 2'!B20</f>
        <v>PAYE, UIF &amp; SDL</v>
      </c>
      <c r="C19" s="52"/>
      <c r="D19" s="55">
        <f>+'Form 2'!D20</f>
        <v>122000</v>
      </c>
      <c r="E19" s="53"/>
      <c r="F19" s="44"/>
      <c r="G19" s="52"/>
      <c r="H19" s="55">
        <f t="shared" si="0"/>
        <v>122000</v>
      </c>
      <c r="I19" s="53"/>
      <c r="J19" s="44"/>
      <c r="K19" s="52"/>
      <c r="L19" s="55">
        <f>H19-D19</f>
        <v>0</v>
      </c>
      <c r="M19" s="54"/>
    </row>
    <row r="20" spans="2:13" ht="16.5">
      <c r="B20" s="10" t="str">
        <f>+'Form 2'!B21</f>
        <v>Allowances: Locomotion</v>
      </c>
      <c r="C20" s="52"/>
      <c r="D20" s="55">
        <f>+'Form 2'!D21</f>
        <v>0</v>
      </c>
      <c r="E20" s="53"/>
      <c r="F20" s="44"/>
      <c r="G20" s="52"/>
      <c r="H20" s="55">
        <f t="shared" si="0"/>
        <v>0</v>
      </c>
      <c r="I20" s="53"/>
      <c r="J20" s="44"/>
      <c r="K20" s="52"/>
      <c r="L20" s="55">
        <f>H20-D20</f>
        <v>0</v>
      </c>
      <c r="M20" s="54"/>
    </row>
    <row r="21" spans="2:13" ht="16.5">
      <c r="B21" s="10" t="str">
        <f>+'Form 2'!B22</f>
        <v>COIDA</v>
      </c>
      <c r="C21" s="52"/>
      <c r="D21" s="55">
        <f>+'Form 2'!D22</f>
        <v>10000</v>
      </c>
      <c r="E21" s="53"/>
      <c r="F21" s="44"/>
      <c r="G21" s="52"/>
      <c r="H21" s="55">
        <f t="shared" si="0"/>
        <v>10000</v>
      </c>
      <c r="I21" s="53"/>
      <c r="J21" s="44"/>
      <c r="K21" s="52"/>
      <c r="L21" s="55">
        <f>H21-D21</f>
        <v>0</v>
      </c>
      <c r="M21" s="54"/>
    </row>
    <row r="22" spans="2:13" ht="16.5">
      <c r="B22" s="10" t="str">
        <f>+'Form 2'!B23</f>
        <v>Bonus</v>
      </c>
      <c r="C22" s="52"/>
      <c r="D22" s="45">
        <f>+'Form 2'!D23</f>
        <v>76500</v>
      </c>
      <c r="E22" s="53"/>
      <c r="F22" s="44"/>
      <c r="G22" s="52"/>
      <c r="H22" s="45">
        <f t="shared" si="0"/>
        <v>76500</v>
      </c>
      <c r="I22" s="53"/>
      <c r="J22" s="44"/>
      <c r="K22" s="52"/>
      <c r="L22" s="45">
        <f>H22-D22</f>
        <v>0</v>
      </c>
      <c r="M22" s="54"/>
    </row>
    <row r="23" spans="2:13" ht="6.75" customHeight="1">
      <c r="B23" s="3"/>
      <c r="C23" s="7"/>
      <c r="D23" s="41"/>
      <c r="E23" s="54"/>
      <c r="G23" s="7"/>
      <c r="H23" s="41"/>
      <c r="I23" s="54"/>
      <c r="K23" s="7"/>
      <c r="L23" s="41"/>
      <c r="M23" s="54"/>
    </row>
    <row r="24" spans="2:13" ht="15">
      <c r="B24" s="11" t="str">
        <f>+'Form 2'!B25</f>
        <v>Core Business</v>
      </c>
      <c r="C24" s="14"/>
      <c r="D24" s="31">
        <f>SUM(D25:D32)</f>
        <v>2350950</v>
      </c>
      <c r="E24" s="17">
        <f>+D24/$D$96</f>
        <v>0.49818817546090272</v>
      </c>
      <c r="G24" s="14"/>
      <c r="H24" s="31">
        <f>SUM(H25:H32)</f>
        <v>2350950</v>
      </c>
      <c r="I24" s="17">
        <f>+H24/$H$96</f>
        <v>0.49818817546090272</v>
      </c>
      <c r="K24" s="14"/>
      <c r="L24" s="31">
        <f>SUM(L25:L32)</f>
        <v>0</v>
      </c>
      <c r="M24" s="17">
        <f>+L24/$D$96</f>
        <v>0</v>
      </c>
    </row>
    <row r="25" spans="2:13" ht="16.5">
      <c r="B25" s="10" t="str">
        <f>+'Form 2'!B26</f>
        <v>Cleansing services</v>
      </c>
      <c r="C25" s="52"/>
      <c r="D25" s="43">
        <f>+'Form 2'!D26</f>
        <v>35000</v>
      </c>
      <c r="E25" s="53"/>
      <c r="F25" s="44"/>
      <c r="G25" s="52"/>
      <c r="H25" s="43">
        <f t="shared" ref="H25:H32" si="1">D25</f>
        <v>35000</v>
      </c>
      <c r="I25" s="53"/>
      <c r="J25" s="44"/>
      <c r="K25" s="52"/>
      <c r="L25" s="43">
        <f t="shared" ref="L25:L32" si="2">H25-D25</f>
        <v>0</v>
      </c>
      <c r="M25" s="54"/>
    </row>
    <row r="26" spans="2:13" ht="16.5" customHeight="1">
      <c r="B26" s="18" t="str">
        <f>+'Form 2'!B27</f>
        <v>Environmental upgrading</v>
      </c>
      <c r="C26" s="52"/>
      <c r="D26" s="55">
        <f>+'Form 2'!D27</f>
        <v>57000</v>
      </c>
      <c r="E26" s="53"/>
      <c r="F26" s="44"/>
      <c r="G26" s="52"/>
      <c r="H26" s="55">
        <f t="shared" si="1"/>
        <v>57000</v>
      </c>
      <c r="I26" s="53"/>
      <c r="J26" s="44"/>
      <c r="K26" s="52"/>
      <c r="L26" s="55">
        <f t="shared" si="2"/>
        <v>0</v>
      </c>
      <c r="M26" s="53"/>
    </row>
    <row r="27" spans="2:13" ht="16.5">
      <c r="B27" s="19" t="str">
        <f>+'Form 2'!B28</f>
        <v>Law Enforcement Officers / Traffic Wardens</v>
      </c>
      <c r="C27" s="52"/>
      <c r="D27" s="55">
        <f>+'Form 2'!D28</f>
        <v>530750</v>
      </c>
      <c r="E27" s="53"/>
      <c r="F27" s="44"/>
      <c r="G27" s="52"/>
      <c r="H27" s="55">
        <f t="shared" si="1"/>
        <v>530750</v>
      </c>
      <c r="I27" s="53"/>
      <c r="J27" s="44"/>
      <c r="K27" s="52"/>
      <c r="L27" s="55">
        <f t="shared" si="2"/>
        <v>0</v>
      </c>
      <c r="M27" s="54"/>
    </row>
    <row r="28" spans="2:13" ht="16.5">
      <c r="B28" s="10" t="str">
        <f>+'Form 2'!B29</f>
        <v>Public Safety</v>
      </c>
      <c r="C28" s="52"/>
      <c r="D28" s="55">
        <f>+'Form 2'!D29</f>
        <v>1325150</v>
      </c>
      <c r="E28" s="53"/>
      <c r="F28" s="44"/>
      <c r="G28" s="52"/>
      <c r="H28" s="55">
        <f t="shared" si="1"/>
        <v>1325150</v>
      </c>
      <c r="I28" s="53"/>
      <c r="J28" s="44"/>
      <c r="K28" s="52"/>
      <c r="L28" s="55">
        <f t="shared" si="2"/>
        <v>0</v>
      </c>
      <c r="M28" s="54"/>
    </row>
    <row r="29" spans="2:13" ht="16.5">
      <c r="B29" s="10" t="str">
        <f>+'Form 2'!B30</f>
        <v>Public Safety - CCTV monitoring</v>
      </c>
      <c r="C29" s="52"/>
      <c r="D29" s="55">
        <f>+'Form 2'!D30</f>
        <v>204050</v>
      </c>
      <c r="E29" s="53"/>
      <c r="F29" s="44"/>
      <c r="G29" s="52"/>
      <c r="H29" s="55">
        <f t="shared" si="1"/>
        <v>204050</v>
      </c>
      <c r="I29" s="53"/>
      <c r="J29" s="44"/>
      <c r="K29" s="52"/>
      <c r="L29" s="55">
        <f t="shared" si="2"/>
        <v>0</v>
      </c>
      <c r="M29" s="54"/>
    </row>
    <row r="30" spans="2:13" ht="16.5">
      <c r="B30" s="10" t="str">
        <f>+'Form 2'!B31</f>
        <v>Public Safety - CCTV - Leasing of cameras</v>
      </c>
      <c r="C30" s="52"/>
      <c r="D30" s="55">
        <f>+'Form 2'!D31</f>
        <v>0</v>
      </c>
      <c r="E30" s="53"/>
      <c r="F30" s="44"/>
      <c r="G30" s="52"/>
      <c r="H30" s="55">
        <f t="shared" ref="H30" si="3">D30</f>
        <v>0</v>
      </c>
      <c r="I30" s="53"/>
      <c r="J30" s="44"/>
      <c r="K30" s="52"/>
      <c r="L30" s="55">
        <f t="shared" ref="L30" si="4">H30-D30</f>
        <v>0</v>
      </c>
      <c r="M30" s="54"/>
    </row>
    <row r="31" spans="2:13" ht="16.5">
      <c r="B31" s="10" t="str">
        <f>+'Form 2'!B32</f>
        <v>Social upliftment</v>
      </c>
      <c r="C31" s="52"/>
      <c r="D31" s="55">
        <f>+'Form 2'!D32</f>
        <v>199000</v>
      </c>
      <c r="E31" s="53"/>
      <c r="F31" s="44"/>
      <c r="G31" s="52"/>
      <c r="H31" s="55">
        <f t="shared" si="1"/>
        <v>199000</v>
      </c>
      <c r="I31" s="53"/>
      <c r="J31" s="44"/>
      <c r="K31" s="52"/>
      <c r="L31" s="55">
        <f t="shared" si="2"/>
        <v>0</v>
      </c>
      <c r="M31" s="54"/>
    </row>
    <row r="32" spans="2:13" ht="16.5">
      <c r="B32" s="10" t="str">
        <f>+'Form 2'!B33</f>
        <v>Urban Maintenance</v>
      </c>
      <c r="C32" s="52"/>
      <c r="D32" s="45">
        <f>+'Form 2'!D33</f>
        <v>0</v>
      </c>
      <c r="E32" s="53"/>
      <c r="F32" s="44"/>
      <c r="G32" s="52"/>
      <c r="H32" s="45">
        <f t="shared" si="1"/>
        <v>0</v>
      </c>
      <c r="I32" s="53"/>
      <c r="J32" s="44"/>
      <c r="K32" s="52"/>
      <c r="L32" s="45">
        <f t="shared" si="2"/>
        <v>0</v>
      </c>
      <c r="M32" s="54"/>
    </row>
    <row r="33" spans="2:13" ht="6.75" customHeight="1">
      <c r="B33" s="3"/>
      <c r="C33" s="7"/>
      <c r="D33" s="41"/>
      <c r="E33" s="54"/>
      <c r="G33" s="7"/>
      <c r="H33" s="41"/>
      <c r="I33" s="54"/>
      <c r="K33" s="7"/>
      <c r="L33" s="41"/>
      <c r="M33" s="54"/>
    </row>
    <row r="34" spans="2:13" ht="15">
      <c r="B34" s="11" t="str">
        <f>+'Form 2'!B35</f>
        <v>Depreciation</v>
      </c>
      <c r="C34" s="14"/>
      <c r="D34" s="31">
        <f>+'Form 2'!D35</f>
        <v>329190</v>
      </c>
      <c r="E34" s="17">
        <f>+D34/$D$96</f>
        <v>6.9758423394787036E-2</v>
      </c>
      <c r="G34" s="14"/>
      <c r="H34" s="31">
        <f t="shared" ref="H34:H36" si="5">D34</f>
        <v>329190</v>
      </c>
      <c r="I34" s="17">
        <f>+H34/$H$96</f>
        <v>6.9758423394787036E-2</v>
      </c>
      <c r="K34" s="14"/>
      <c r="L34" s="31">
        <f>H34-D34</f>
        <v>0</v>
      </c>
      <c r="M34" s="17">
        <f>+L34/$D$96</f>
        <v>0</v>
      </c>
    </row>
    <row r="35" spans="2:13" ht="15">
      <c r="B35" s="11" t="str">
        <f>+'Form 2'!B36</f>
        <v>Repairs &amp; Maintenance</v>
      </c>
      <c r="C35" s="14"/>
      <c r="D35" s="31">
        <f>+'Form 2'!D36</f>
        <v>75000</v>
      </c>
      <c r="E35" s="17">
        <f>+D35/$D$96</f>
        <v>1.5893197711379529E-2</v>
      </c>
      <c r="G35" s="14"/>
      <c r="H35" s="31">
        <f t="shared" si="5"/>
        <v>75000</v>
      </c>
      <c r="I35" s="17">
        <f>+H35/$H$96</f>
        <v>1.5893197711379529E-2</v>
      </c>
      <c r="K35" s="14"/>
      <c r="L35" s="31">
        <f>H35-D35</f>
        <v>0</v>
      </c>
      <c r="M35" s="17">
        <f>+L35/$D$96</f>
        <v>0</v>
      </c>
    </row>
    <row r="36" spans="2:13" ht="15">
      <c r="B36" s="11" t="str">
        <f>+'Form 2'!B37</f>
        <v>Interest &amp; Redemption (Finance Lease)</v>
      </c>
      <c r="C36" s="14"/>
      <c r="D36" s="31">
        <f>+'Form 2'!D37</f>
        <v>0</v>
      </c>
      <c r="E36" s="17">
        <f>+D36/$D$96</f>
        <v>0</v>
      </c>
      <c r="G36" s="14"/>
      <c r="H36" s="31">
        <f t="shared" si="5"/>
        <v>0</v>
      </c>
      <c r="I36" s="17">
        <f>+H36/$H$96</f>
        <v>0</v>
      </c>
      <c r="K36" s="14"/>
      <c r="L36" s="31">
        <f>H36-D36</f>
        <v>0</v>
      </c>
      <c r="M36" s="17">
        <f>+L36/$D$96</f>
        <v>0</v>
      </c>
    </row>
    <row r="37" spans="2:13" ht="6.75" customHeight="1">
      <c r="B37" s="20"/>
      <c r="C37" s="14"/>
      <c r="D37" s="31"/>
      <c r="E37" s="17"/>
      <c r="G37" s="14"/>
      <c r="H37" s="31"/>
      <c r="I37" s="17"/>
      <c r="K37" s="14"/>
      <c r="L37" s="31"/>
      <c r="M37" s="17"/>
    </row>
    <row r="38" spans="2:13" ht="15">
      <c r="B38" s="11" t="str">
        <f>+'Form 2'!B39</f>
        <v>General Expenditure</v>
      </c>
      <c r="C38" s="14"/>
      <c r="D38" s="31">
        <f>SUM(D39:D73)</f>
        <v>345700</v>
      </c>
      <c r="E38" s="17">
        <f>+D38/$D$96</f>
        <v>7.3257045984318717E-2</v>
      </c>
      <c r="G38" s="14"/>
      <c r="H38" s="31">
        <f>SUM(H39:H73)</f>
        <v>345700</v>
      </c>
      <c r="I38" s="17">
        <f>+H38/$H$96</f>
        <v>7.3257045984318717E-2</v>
      </c>
      <c r="K38" s="14"/>
      <c r="L38" s="31">
        <f>SUM(L39:L73)</f>
        <v>0</v>
      </c>
      <c r="M38" s="17">
        <f>+L38/$D$96</f>
        <v>0</v>
      </c>
    </row>
    <row r="39" spans="2:13" ht="16.5">
      <c r="B39" s="10" t="s">
        <v>63</v>
      </c>
      <c r="C39" s="7"/>
      <c r="D39" s="43">
        <f>+'Form 2'!D40</f>
        <v>84000</v>
      </c>
      <c r="E39" s="53"/>
      <c r="F39" s="44"/>
      <c r="G39" s="52"/>
      <c r="H39" s="43">
        <f t="shared" ref="H39:H73" si="6">D39</f>
        <v>84000</v>
      </c>
      <c r="I39" s="53"/>
      <c r="J39" s="44"/>
      <c r="K39" s="52"/>
      <c r="L39" s="43">
        <f t="shared" ref="L39:L73" si="7">H39-D39</f>
        <v>0</v>
      </c>
      <c r="M39" s="54"/>
    </row>
    <row r="40" spans="2:13" ht="16.5">
      <c r="B40" s="10" t="s">
        <v>65</v>
      </c>
      <c r="C40" s="7"/>
      <c r="D40" s="55">
        <f>+'Form 2'!D41</f>
        <v>0</v>
      </c>
      <c r="E40" s="53"/>
      <c r="F40" s="44"/>
      <c r="G40" s="52"/>
      <c r="H40" s="55">
        <f t="shared" si="6"/>
        <v>0</v>
      </c>
      <c r="I40" s="53"/>
      <c r="J40" s="44"/>
      <c r="K40" s="52"/>
      <c r="L40" s="55">
        <f t="shared" si="7"/>
        <v>0</v>
      </c>
      <c r="M40" s="54"/>
    </row>
    <row r="41" spans="2:13" ht="16.5">
      <c r="B41" s="10" t="s">
        <v>67</v>
      </c>
      <c r="C41" s="7"/>
      <c r="D41" s="55">
        <f>+'Form 2'!D42</f>
        <v>7500</v>
      </c>
      <c r="E41" s="53"/>
      <c r="F41" s="44"/>
      <c r="G41" s="52"/>
      <c r="H41" s="55">
        <f t="shared" si="6"/>
        <v>7500</v>
      </c>
      <c r="I41" s="53"/>
      <c r="J41" s="44"/>
      <c r="K41" s="52"/>
      <c r="L41" s="55">
        <f t="shared" si="7"/>
        <v>0</v>
      </c>
      <c r="M41" s="54"/>
    </row>
    <row r="42" spans="2:13" ht="16.5">
      <c r="B42" s="10" t="s">
        <v>69</v>
      </c>
      <c r="C42" s="7"/>
      <c r="D42" s="55">
        <f>+'Form 2'!D43</f>
        <v>20000</v>
      </c>
      <c r="E42" s="53"/>
      <c r="F42" s="44"/>
      <c r="G42" s="52"/>
      <c r="H42" s="55">
        <f t="shared" si="6"/>
        <v>20000</v>
      </c>
      <c r="I42" s="53"/>
      <c r="J42" s="44"/>
      <c r="K42" s="52"/>
      <c r="L42" s="55">
        <f t="shared" si="7"/>
        <v>0</v>
      </c>
      <c r="M42" s="54"/>
    </row>
    <row r="43" spans="2:13" ht="16.5">
      <c r="B43" s="10" t="s">
        <v>71</v>
      </c>
      <c r="C43" s="7"/>
      <c r="D43" s="55">
        <f>+'Form 2'!D44</f>
        <v>4500</v>
      </c>
      <c r="E43" s="53"/>
      <c r="F43" s="44"/>
      <c r="G43" s="52"/>
      <c r="H43" s="55">
        <f t="shared" si="6"/>
        <v>4500</v>
      </c>
      <c r="I43" s="53"/>
      <c r="J43" s="44"/>
      <c r="K43" s="52"/>
      <c r="L43" s="55">
        <f t="shared" si="7"/>
        <v>0</v>
      </c>
      <c r="M43" s="54"/>
    </row>
    <row r="44" spans="2:13" ht="16.5">
      <c r="B44" s="10" t="s">
        <v>73</v>
      </c>
      <c r="C44" s="7"/>
      <c r="D44" s="55">
        <f>+'Form 2'!D45</f>
        <v>0</v>
      </c>
      <c r="E44" s="53"/>
      <c r="F44" s="44"/>
      <c r="G44" s="52"/>
      <c r="H44" s="55">
        <f t="shared" si="6"/>
        <v>0</v>
      </c>
      <c r="I44" s="53"/>
      <c r="J44" s="44"/>
      <c r="K44" s="52"/>
      <c r="L44" s="55">
        <f t="shared" si="7"/>
        <v>0</v>
      </c>
      <c r="M44" s="54"/>
    </row>
    <row r="45" spans="2:13" ht="16.5">
      <c r="B45" s="10" t="s">
        <v>75</v>
      </c>
      <c r="C45" s="7"/>
      <c r="D45" s="55">
        <f>+'Form 2'!D46</f>
        <v>0</v>
      </c>
      <c r="E45" s="53"/>
      <c r="F45" s="44"/>
      <c r="G45" s="52"/>
      <c r="H45" s="55">
        <f t="shared" si="6"/>
        <v>0</v>
      </c>
      <c r="I45" s="53"/>
      <c r="J45" s="44"/>
      <c r="K45" s="52"/>
      <c r="L45" s="55">
        <f t="shared" si="7"/>
        <v>0</v>
      </c>
      <c r="M45" s="54"/>
    </row>
    <row r="46" spans="2:13" ht="16.5">
      <c r="B46" s="10" t="s">
        <v>212</v>
      </c>
      <c r="C46" s="7"/>
      <c r="D46" s="55">
        <f>+'Form 2'!D47</f>
        <v>0</v>
      </c>
      <c r="E46" s="53"/>
      <c r="F46" s="44"/>
      <c r="G46" s="52"/>
      <c r="H46" s="55">
        <f t="shared" si="6"/>
        <v>0</v>
      </c>
      <c r="I46" s="53"/>
      <c r="J46" s="44"/>
      <c r="K46" s="52"/>
      <c r="L46" s="55">
        <f t="shared" si="7"/>
        <v>0</v>
      </c>
      <c r="M46" s="54"/>
    </row>
    <row r="47" spans="2:13" ht="16.5">
      <c r="B47" s="10" t="s">
        <v>79</v>
      </c>
      <c r="C47" s="7"/>
      <c r="D47" s="55">
        <f>+'Form 2'!D48</f>
        <v>5000</v>
      </c>
      <c r="E47" s="53"/>
      <c r="F47" s="44"/>
      <c r="G47" s="52"/>
      <c r="H47" s="55">
        <f t="shared" si="6"/>
        <v>5000</v>
      </c>
      <c r="I47" s="53"/>
      <c r="J47" s="44"/>
      <c r="K47" s="52"/>
      <c r="L47" s="55">
        <f t="shared" si="7"/>
        <v>0</v>
      </c>
      <c r="M47" s="54"/>
    </row>
    <row r="48" spans="2:13" ht="16.5">
      <c r="B48" s="10" t="s">
        <v>81</v>
      </c>
      <c r="C48" s="7"/>
      <c r="D48" s="55">
        <f>+'Form 2'!D49</f>
        <v>6000</v>
      </c>
      <c r="E48" s="53"/>
      <c r="F48" s="44"/>
      <c r="G48" s="52"/>
      <c r="H48" s="55">
        <f t="shared" si="6"/>
        <v>6000</v>
      </c>
      <c r="I48" s="53"/>
      <c r="J48" s="44"/>
      <c r="K48" s="52"/>
      <c r="L48" s="55">
        <f t="shared" si="7"/>
        <v>0</v>
      </c>
      <c r="M48" s="54"/>
    </row>
    <row r="49" spans="2:13" ht="16.5">
      <c r="B49" s="10" t="s">
        <v>83</v>
      </c>
      <c r="C49" s="7"/>
      <c r="D49" s="55">
        <f>+'Form 2'!D50</f>
        <v>0</v>
      </c>
      <c r="E49" s="53"/>
      <c r="F49" s="44"/>
      <c r="G49" s="52"/>
      <c r="H49" s="55">
        <f t="shared" si="6"/>
        <v>0</v>
      </c>
      <c r="I49" s="53"/>
      <c r="J49" s="44"/>
      <c r="K49" s="52"/>
      <c r="L49" s="55">
        <f t="shared" si="7"/>
        <v>0</v>
      </c>
      <c r="M49" s="54"/>
    </row>
    <row r="50" spans="2:13" ht="16.5">
      <c r="B50" s="10" t="s">
        <v>85</v>
      </c>
      <c r="C50" s="7"/>
      <c r="D50" s="55">
        <f>+'Form 2'!D51</f>
        <v>0</v>
      </c>
      <c r="E50" s="53"/>
      <c r="F50" s="44"/>
      <c r="G50" s="52"/>
      <c r="H50" s="55">
        <f t="shared" si="6"/>
        <v>0</v>
      </c>
      <c r="I50" s="53"/>
      <c r="J50" s="44"/>
      <c r="K50" s="52"/>
      <c r="L50" s="55">
        <f t="shared" si="7"/>
        <v>0</v>
      </c>
      <c r="M50" s="54"/>
    </row>
    <row r="51" spans="2:13" ht="16.5">
      <c r="B51" s="10" t="s">
        <v>87</v>
      </c>
      <c r="C51" s="7"/>
      <c r="D51" s="55">
        <f>+'Form 2'!D52</f>
        <v>2500</v>
      </c>
      <c r="E51" s="53"/>
      <c r="F51" s="44"/>
      <c r="G51" s="52"/>
      <c r="H51" s="55">
        <f t="shared" si="6"/>
        <v>2500</v>
      </c>
      <c r="I51" s="53"/>
      <c r="J51" s="44"/>
      <c r="K51" s="52"/>
      <c r="L51" s="55">
        <f t="shared" si="7"/>
        <v>0</v>
      </c>
      <c r="M51" s="54"/>
    </row>
    <row r="52" spans="2:13" ht="16.5">
      <c r="B52" s="10" t="s">
        <v>89</v>
      </c>
      <c r="C52" s="7"/>
      <c r="D52" s="55">
        <f>+'Form 2'!D53</f>
        <v>0</v>
      </c>
      <c r="E52" s="53"/>
      <c r="F52" s="44"/>
      <c r="G52" s="52"/>
      <c r="H52" s="55">
        <f t="shared" si="6"/>
        <v>0</v>
      </c>
      <c r="I52" s="53"/>
      <c r="J52" s="44"/>
      <c r="K52" s="52"/>
      <c r="L52" s="55">
        <f t="shared" si="7"/>
        <v>0</v>
      </c>
      <c r="M52" s="54"/>
    </row>
    <row r="53" spans="2:13" ht="16.5">
      <c r="B53" s="10" t="s">
        <v>91</v>
      </c>
      <c r="C53" s="7"/>
      <c r="D53" s="55">
        <f>+'Form 2'!D54</f>
        <v>23000</v>
      </c>
      <c r="E53" s="53"/>
      <c r="F53" s="44"/>
      <c r="G53" s="52"/>
      <c r="H53" s="55">
        <f t="shared" si="6"/>
        <v>23000</v>
      </c>
      <c r="I53" s="53"/>
      <c r="J53" s="44"/>
      <c r="K53" s="52"/>
      <c r="L53" s="55">
        <f t="shared" si="7"/>
        <v>0</v>
      </c>
      <c r="M53" s="54"/>
    </row>
    <row r="54" spans="2:13" ht="16.5">
      <c r="B54" s="10" t="s">
        <v>93</v>
      </c>
      <c r="C54" s="7"/>
      <c r="D54" s="55">
        <f>+'Form 2'!D55</f>
        <v>0</v>
      </c>
      <c r="E54" s="53"/>
      <c r="F54" s="44"/>
      <c r="G54" s="52"/>
      <c r="H54" s="55">
        <f t="shared" si="6"/>
        <v>0</v>
      </c>
      <c r="I54" s="53"/>
      <c r="J54" s="44"/>
      <c r="K54" s="52"/>
      <c r="L54" s="55">
        <f t="shared" si="7"/>
        <v>0</v>
      </c>
      <c r="M54" s="54"/>
    </row>
    <row r="55" spans="2:13" ht="16.5">
      <c r="B55" s="10" t="s">
        <v>95</v>
      </c>
      <c r="C55" s="7"/>
      <c r="D55" s="55">
        <f>+'Form 2'!D56</f>
        <v>0</v>
      </c>
      <c r="E55" s="53"/>
      <c r="F55" s="44"/>
      <c r="G55" s="52"/>
      <c r="H55" s="55">
        <f t="shared" ref="H55" si="8">D55</f>
        <v>0</v>
      </c>
      <c r="I55" s="53"/>
      <c r="J55" s="44"/>
      <c r="K55" s="52"/>
      <c r="L55" s="55">
        <f t="shared" ref="L55" si="9">H55-D55</f>
        <v>0</v>
      </c>
      <c r="M55" s="54"/>
    </row>
    <row r="56" spans="2:13" ht="16.5">
      <c r="B56" s="10" t="s">
        <v>97</v>
      </c>
      <c r="C56" s="7"/>
      <c r="D56" s="55">
        <f>+'Form 2'!D57</f>
        <v>52000</v>
      </c>
      <c r="E56" s="53"/>
      <c r="F56" s="44"/>
      <c r="G56" s="52"/>
      <c r="H56" s="55">
        <f t="shared" si="6"/>
        <v>52000</v>
      </c>
      <c r="I56" s="53"/>
      <c r="J56" s="44"/>
      <c r="K56" s="52"/>
      <c r="L56" s="55">
        <f t="shared" si="7"/>
        <v>0</v>
      </c>
      <c r="M56" s="54"/>
    </row>
    <row r="57" spans="2:13" ht="16.5">
      <c r="B57" s="10" t="s">
        <v>99</v>
      </c>
      <c r="C57" s="7"/>
      <c r="D57" s="55">
        <f>+'Form 2'!D58</f>
        <v>5000</v>
      </c>
      <c r="E57" s="53"/>
      <c r="F57" s="44"/>
      <c r="G57" s="52"/>
      <c r="H57" s="55">
        <f t="shared" si="6"/>
        <v>5000</v>
      </c>
      <c r="I57" s="53"/>
      <c r="J57" s="44"/>
      <c r="K57" s="52"/>
      <c r="L57" s="55">
        <f t="shared" si="7"/>
        <v>0</v>
      </c>
      <c r="M57" s="54"/>
    </row>
    <row r="58" spans="2:13" ht="16.5">
      <c r="B58" s="10" t="s">
        <v>101</v>
      </c>
      <c r="C58" s="7"/>
      <c r="D58" s="55">
        <f>+'Form 2'!D59</f>
        <v>0</v>
      </c>
      <c r="E58" s="53"/>
      <c r="F58" s="44"/>
      <c r="G58" s="52"/>
      <c r="H58" s="55">
        <f t="shared" si="6"/>
        <v>0</v>
      </c>
      <c r="I58" s="53"/>
      <c r="J58" s="44"/>
      <c r="K58" s="52"/>
      <c r="L58" s="55">
        <f t="shared" si="7"/>
        <v>0</v>
      </c>
      <c r="M58" s="54"/>
    </row>
    <row r="59" spans="2:13" ht="16.5">
      <c r="B59" s="10" t="s">
        <v>103</v>
      </c>
      <c r="C59" s="7"/>
      <c r="D59" s="55">
        <f>+'Form 2'!D60</f>
        <v>66000</v>
      </c>
      <c r="E59" s="53"/>
      <c r="F59" s="44"/>
      <c r="G59" s="52"/>
      <c r="H59" s="55">
        <f t="shared" si="6"/>
        <v>66000</v>
      </c>
      <c r="I59" s="53"/>
      <c r="J59" s="44"/>
      <c r="K59" s="52"/>
      <c r="L59" s="55">
        <f t="shared" si="7"/>
        <v>0</v>
      </c>
      <c r="M59" s="54"/>
    </row>
    <row r="60" spans="2:13" ht="16.5">
      <c r="B60" s="10" t="s">
        <v>105</v>
      </c>
      <c r="C60" s="7"/>
      <c r="D60" s="55">
        <f>+'Form 2'!D61</f>
        <v>0</v>
      </c>
      <c r="E60" s="53"/>
      <c r="F60" s="44"/>
      <c r="G60" s="52"/>
      <c r="H60" s="55">
        <f t="shared" si="6"/>
        <v>0</v>
      </c>
      <c r="I60" s="53"/>
      <c r="J60" s="44"/>
      <c r="K60" s="52"/>
      <c r="L60" s="55">
        <f t="shared" si="7"/>
        <v>0</v>
      </c>
      <c r="M60" s="54"/>
    </row>
    <row r="61" spans="2:13" ht="16.5">
      <c r="B61" s="10" t="s">
        <v>107</v>
      </c>
      <c r="C61" s="7"/>
      <c r="D61" s="55">
        <f>+'Form 2'!D62</f>
        <v>0</v>
      </c>
      <c r="E61" s="53"/>
      <c r="F61" s="44"/>
      <c r="G61" s="52"/>
      <c r="H61" s="55">
        <f t="shared" si="6"/>
        <v>0</v>
      </c>
      <c r="I61" s="53"/>
      <c r="J61" s="44"/>
      <c r="K61" s="52"/>
      <c r="L61" s="55">
        <f t="shared" si="7"/>
        <v>0</v>
      </c>
      <c r="M61" s="54"/>
    </row>
    <row r="62" spans="2:13" ht="16.5">
      <c r="B62" s="10" t="s">
        <v>109</v>
      </c>
      <c r="C62" s="7"/>
      <c r="D62" s="55">
        <f>+'Form 2'!D63</f>
        <v>0</v>
      </c>
      <c r="E62" s="53"/>
      <c r="F62" s="44"/>
      <c r="G62" s="52"/>
      <c r="H62" s="55">
        <f t="shared" si="6"/>
        <v>0</v>
      </c>
      <c r="I62" s="53"/>
      <c r="J62" s="44"/>
      <c r="K62" s="52"/>
      <c r="L62" s="55">
        <f t="shared" si="7"/>
        <v>0</v>
      </c>
      <c r="M62" s="54"/>
    </row>
    <row r="63" spans="2:13" ht="16.5">
      <c r="B63" s="10" t="s">
        <v>111</v>
      </c>
      <c r="C63" s="7"/>
      <c r="D63" s="55">
        <f>+'Form 2'!D64</f>
        <v>6500</v>
      </c>
      <c r="E63" s="53"/>
      <c r="F63" s="44"/>
      <c r="G63" s="52"/>
      <c r="H63" s="55">
        <f t="shared" si="6"/>
        <v>6500</v>
      </c>
      <c r="I63" s="53"/>
      <c r="J63" s="44"/>
      <c r="K63" s="52"/>
      <c r="L63" s="55">
        <f t="shared" si="7"/>
        <v>0</v>
      </c>
      <c r="M63" s="54"/>
    </row>
    <row r="64" spans="2:13" ht="16.5">
      <c r="B64" s="10" t="s">
        <v>113</v>
      </c>
      <c r="C64" s="7"/>
      <c r="D64" s="55">
        <f>+'Form 2'!D65</f>
        <v>20000</v>
      </c>
      <c r="E64" s="53"/>
      <c r="F64" s="44"/>
      <c r="G64" s="52"/>
      <c r="H64" s="55">
        <f t="shared" si="6"/>
        <v>20000</v>
      </c>
      <c r="I64" s="53"/>
      <c r="J64" s="44"/>
      <c r="K64" s="52"/>
      <c r="L64" s="55">
        <f t="shared" si="7"/>
        <v>0</v>
      </c>
      <c r="M64" s="54"/>
    </row>
    <row r="65" spans="2:13" ht="16.5">
      <c r="B65" s="10" t="s">
        <v>184</v>
      </c>
      <c r="C65" s="7"/>
      <c r="D65" s="55">
        <f>+'Form 2'!D66</f>
        <v>0</v>
      </c>
      <c r="E65" s="53"/>
      <c r="F65" s="44"/>
      <c r="G65" s="52"/>
      <c r="H65" s="55">
        <f t="shared" si="6"/>
        <v>0</v>
      </c>
      <c r="I65" s="53"/>
      <c r="J65" s="44"/>
      <c r="K65" s="52"/>
      <c r="L65" s="55">
        <f t="shared" si="7"/>
        <v>0</v>
      </c>
      <c r="M65" s="54"/>
    </row>
    <row r="66" spans="2:13" ht="16.5">
      <c r="B66" s="10" t="s">
        <v>185</v>
      </c>
      <c r="C66" s="7"/>
      <c r="D66" s="55">
        <f>+'Form 2'!D67</f>
        <v>18000</v>
      </c>
      <c r="E66" s="53"/>
      <c r="F66" s="44"/>
      <c r="G66" s="52"/>
      <c r="H66" s="55">
        <f t="shared" si="6"/>
        <v>18000</v>
      </c>
      <c r="I66" s="53"/>
      <c r="J66" s="44"/>
      <c r="K66" s="52"/>
      <c r="L66" s="55">
        <f t="shared" si="7"/>
        <v>0</v>
      </c>
      <c r="M66" s="54"/>
    </row>
    <row r="67" spans="2:13" ht="16.5">
      <c r="B67" s="10" t="s">
        <v>119</v>
      </c>
      <c r="C67" s="7"/>
      <c r="D67" s="55">
        <f>+'Form 2'!D68</f>
        <v>0</v>
      </c>
      <c r="E67" s="53"/>
      <c r="F67" s="44"/>
      <c r="G67" s="52"/>
      <c r="H67" s="55">
        <f t="shared" ref="H67" si="10">D67</f>
        <v>0</v>
      </c>
      <c r="I67" s="53"/>
      <c r="J67" s="44"/>
      <c r="K67" s="52"/>
      <c r="L67" s="55">
        <f t="shared" ref="L67" si="11">H67-D67</f>
        <v>0</v>
      </c>
      <c r="M67" s="54"/>
    </row>
    <row r="68" spans="2:13" ht="16.5">
      <c r="B68" s="10" t="s">
        <v>121</v>
      </c>
      <c r="C68" s="7"/>
      <c r="D68" s="55">
        <f>+'Form 2'!D69</f>
        <v>7000</v>
      </c>
      <c r="E68" s="53"/>
      <c r="F68" s="44"/>
      <c r="G68" s="52"/>
      <c r="H68" s="55">
        <f t="shared" si="6"/>
        <v>7000</v>
      </c>
      <c r="I68" s="53"/>
      <c r="J68" s="44"/>
      <c r="K68" s="52"/>
      <c r="L68" s="55">
        <f t="shared" si="7"/>
        <v>0</v>
      </c>
      <c r="M68" s="54"/>
    </row>
    <row r="69" spans="2:13" ht="16.5">
      <c r="B69" s="10" t="s">
        <v>123</v>
      </c>
      <c r="C69" s="7"/>
      <c r="D69" s="55">
        <f>+'Form 2'!D70</f>
        <v>16700</v>
      </c>
      <c r="E69" s="53"/>
      <c r="F69" s="44"/>
      <c r="G69" s="52"/>
      <c r="H69" s="55">
        <f t="shared" si="6"/>
        <v>16700</v>
      </c>
      <c r="I69" s="53"/>
      <c r="J69" s="44"/>
      <c r="K69" s="52"/>
      <c r="L69" s="55">
        <f t="shared" si="7"/>
        <v>0</v>
      </c>
      <c r="M69" s="54"/>
    </row>
    <row r="70" spans="2:13" ht="16.5">
      <c r="B70" s="10" t="s">
        <v>125</v>
      </c>
      <c r="C70" s="7"/>
      <c r="D70" s="55">
        <f>+'Form 2'!D71</f>
        <v>0</v>
      </c>
      <c r="E70" s="53"/>
      <c r="F70" s="44"/>
      <c r="G70" s="52"/>
      <c r="H70" s="55">
        <f t="shared" si="6"/>
        <v>0</v>
      </c>
      <c r="I70" s="53"/>
      <c r="J70" s="44"/>
      <c r="K70" s="52"/>
      <c r="L70" s="55">
        <f t="shared" si="7"/>
        <v>0</v>
      </c>
      <c r="M70" s="54"/>
    </row>
    <row r="71" spans="2:13" ht="16.5">
      <c r="B71" s="10" t="s">
        <v>127</v>
      </c>
      <c r="C71" s="7"/>
      <c r="D71" s="55">
        <f>+'Form 2'!D72</f>
        <v>0</v>
      </c>
      <c r="E71" s="53"/>
      <c r="F71" s="44"/>
      <c r="G71" s="52"/>
      <c r="H71" s="55">
        <f t="shared" si="6"/>
        <v>0</v>
      </c>
      <c r="I71" s="53"/>
      <c r="J71" s="44"/>
      <c r="K71" s="52"/>
      <c r="L71" s="55">
        <f t="shared" si="7"/>
        <v>0</v>
      </c>
      <c r="M71" s="54"/>
    </row>
    <row r="72" spans="2:13" ht="16.5">
      <c r="B72" s="10" t="s">
        <v>129</v>
      </c>
      <c r="C72" s="7"/>
      <c r="D72" s="55">
        <f>+'Form 2'!D73</f>
        <v>2000</v>
      </c>
      <c r="E72" s="53"/>
      <c r="F72" s="44"/>
      <c r="G72" s="52"/>
      <c r="H72" s="55">
        <f t="shared" si="6"/>
        <v>2000</v>
      </c>
      <c r="I72" s="53"/>
      <c r="J72" s="44"/>
      <c r="K72" s="52"/>
      <c r="L72" s="55">
        <f t="shared" si="7"/>
        <v>0</v>
      </c>
      <c r="M72" s="54"/>
    </row>
    <row r="73" spans="2:13" ht="16.5">
      <c r="B73" s="10" t="s">
        <v>131</v>
      </c>
      <c r="C73" s="7"/>
      <c r="D73" s="45">
        <f>+'Form 2'!D74</f>
        <v>0</v>
      </c>
      <c r="E73" s="53"/>
      <c r="F73" s="44"/>
      <c r="G73" s="52"/>
      <c r="H73" s="45">
        <f t="shared" si="6"/>
        <v>0</v>
      </c>
      <c r="I73" s="53"/>
      <c r="J73" s="44"/>
      <c r="K73" s="52"/>
      <c r="L73" s="45">
        <f t="shared" si="7"/>
        <v>0</v>
      </c>
      <c r="M73" s="54"/>
    </row>
    <row r="74" spans="2:13" ht="6.75" customHeight="1">
      <c r="B74" s="3"/>
      <c r="C74" s="7"/>
      <c r="D74" s="41"/>
      <c r="E74" s="54"/>
      <c r="G74" s="7"/>
      <c r="H74" s="41"/>
      <c r="I74" s="54"/>
      <c r="K74" s="7"/>
      <c r="L74" s="41"/>
      <c r="M74" s="54"/>
    </row>
    <row r="75" spans="2:13" ht="15.75">
      <c r="B75" s="11" t="str">
        <f>+'Form 2'!B76</f>
        <v>Projects</v>
      </c>
      <c r="C75" s="7"/>
      <c r="D75" s="31">
        <f>SUM(D76:D80)</f>
        <v>135000</v>
      </c>
      <c r="E75" s="17">
        <f>+D75/$D$96</f>
        <v>2.8607755880483154E-2</v>
      </c>
      <c r="G75" s="7"/>
      <c r="H75" s="31">
        <f>SUM(H76:H80)</f>
        <v>135000</v>
      </c>
      <c r="I75" s="17">
        <f>+H75/$H$96</f>
        <v>2.8607755880483154E-2</v>
      </c>
      <c r="K75" s="7"/>
      <c r="L75" s="31">
        <f>SUM(L76:L80)</f>
        <v>0</v>
      </c>
      <c r="M75" s="17">
        <f>+L75/$D$96</f>
        <v>0</v>
      </c>
    </row>
    <row r="76" spans="2:13" ht="16.5">
      <c r="B76" s="22" t="str">
        <f>+'Form 2'!B77</f>
        <v>Ad hoc environmental projects</v>
      </c>
      <c r="C76" s="7"/>
      <c r="D76" s="43">
        <f>+'Form 2'!D77</f>
        <v>0</v>
      </c>
      <c r="E76" s="53"/>
      <c r="F76" s="44"/>
      <c r="G76" s="52"/>
      <c r="H76" s="43">
        <f t="shared" ref="H76:H80" si="12">D76</f>
        <v>0</v>
      </c>
      <c r="I76" s="53"/>
      <c r="J76" s="44"/>
      <c r="K76" s="52"/>
      <c r="L76" s="43">
        <f>H76-D76</f>
        <v>0</v>
      </c>
      <c r="M76" s="54"/>
    </row>
    <row r="77" spans="2:13" ht="16.5">
      <c r="B77" s="22" t="str">
        <f>+'Form 2'!B78</f>
        <v>Marketing Project</v>
      </c>
      <c r="C77" s="7"/>
      <c r="D77" s="55">
        <f>+'Form 2'!D78</f>
        <v>135000</v>
      </c>
      <c r="E77" s="53"/>
      <c r="F77" s="44"/>
      <c r="G77" s="52"/>
      <c r="H77" s="55">
        <f t="shared" si="12"/>
        <v>135000</v>
      </c>
      <c r="I77" s="53"/>
      <c r="J77" s="44"/>
      <c r="K77" s="52"/>
      <c r="L77" s="55">
        <f>H77-D77</f>
        <v>0</v>
      </c>
      <c r="M77" s="54"/>
    </row>
    <row r="78" spans="2:13" ht="16.5">
      <c r="B78" s="22" t="str">
        <f>+'Form 2'!B79</f>
        <v>Provide Detail</v>
      </c>
      <c r="C78" s="7"/>
      <c r="D78" s="55">
        <f>+'Form 2'!D79</f>
        <v>0</v>
      </c>
      <c r="E78" s="53"/>
      <c r="F78" s="44"/>
      <c r="G78" s="52"/>
      <c r="H78" s="55">
        <f t="shared" si="12"/>
        <v>0</v>
      </c>
      <c r="I78" s="53"/>
      <c r="J78" s="44"/>
      <c r="K78" s="52"/>
      <c r="L78" s="55">
        <f>H78-D78</f>
        <v>0</v>
      </c>
      <c r="M78" s="54"/>
    </row>
    <row r="79" spans="2:13" ht="16.5">
      <c r="B79" s="22" t="str">
        <f>+'Form 2'!B80</f>
        <v>Provide Detail</v>
      </c>
      <c r="C79" s="7"/>
      <c r="D79" s="55">
        <f>+'Form 2'!D80</f>
        <v>0</v>
      </c>
      <c r="E79" s="53"/>
      <c r="F79" s="44"/>
      <c r="G79" s="52"/>
      <c r="H79" s="55">
        <f t="shared" si="12"/>
        <v>0</v>
      </c>
      <c r="I79" s="53"/>
      <c r="J79" s="44"/>
      <c r="K79" s="52"/>
      <c r="L79" s="55">
        <f>H79-D79</f>
        <v>0</v>
      </c>
      <c r="M79" s="54"/>
    </row>
    <row r="80" spans="2:13" ht="16.5">
      <c r="B80" s="22" t="str">
        <f>+'Form 2'!B81</f>
        <v>Provide Detail</v>
      </c>
      <c r="C80" s="7"/>
      <c r="D80" s="45">
        <f>+'Form 2'!D81</f>
        <v>0</v>
      </c>
      <c r="E80" s="53"/>
      <c r="F80" s="44"/>
      <c r="G80" s="52"/>
      <c r="H80" s="45">
        <f t="shared" si="12"/>
        <v>0</v>
      </c>
      <c r="I80" s="53"/>
      <c r="J80" s="44"/>
      <c r="K80" s="52"/>
      <c r="L80" s="45">
        <f>H80-D80</f>
        <v>0</v>
      </c>
      <c r="M80" s="54"/>
    </row>
    <row r="81" spans="2:13" ht="6.75" customHeight="1">
      <c r="B81" s="22"/>
      <c r="C81" s="7"/>
      <c r="D81" s="41"/>
      <c r="E81" s="54"/>
      <c r="G81" s="7"/>
      <c r="H81" s="41"/>
      <c r="I81" s="54"/>
      <c r="K81" s="7"/>
      <c r="L81" s="41"/>
      <c r="M81" s="54"/>
    </row>
    <row r="82" spans="2:13" ht="15.75">
      <c r="B82" s="11" t="str">
        <f>+'Form 2'!B83</f>
        <v>Capital Expenditure (PPE)</v>
      </c>
      <c r="C82" s="7"/>
      <c r="D82" s="31">
        <f>SUM(D83:D92)</f>
        <v>320000</v>
      </c>
      <c r="E82" s="17">
        <f>+D82/$D$96</f>
        <v>6.7810976901885991E-2</v>
      </c>
      <c r="G82" s="7"/>
      <c r="H82" s="31">
        <f>SUM(H83:H92)</f>
        <v>320000</v>
      </c>
      <c r="I82" s="17">
        <f>+H82/$H$96</f>
        <v>6.7810976901885991E-2</v>
      </c>
      <c r="K82" s="7"/>
      <c r="L82" s="31">
        <f>SUM(L83:L92)</f>
        <v>0</v>
      </c>
      <c r="M82" s="17">
        <f>+L82/$D$96</f>
        <v>0</v>
      </c>
    </row>
    <row r="83" spans="2:13" ht="16.5">
      <c r="B83" s="10" t="s">
        <v>191</v>
      </c>
      <c r="C83" s="7"/>
      <c r="D83" s="43">
        <f>+'Form 2'!D84</f>
        <v>320000</v>
      </c>
      <c r="E83" s="53"/>
      <c r="F83" s="44"/>
      <c r="G83" s="52"/>
      <c r="H83" s="43">
        <f t="shared" ref="H83:H92" si="13">D83</f>
        <v>320000</v>
      </c>
      <c r="I83" s="53"/>
      <c r="J83" s="44"/>
      <c r="K83" s="52"/>
      <c r="L83" s="43">
        <f t="shared" ref="L83:L92" si="14">H83-D83</f>
        <v>0</v>
      </c>
      <c r="M83" s="54"/>
    </row>
    <row r="84" spans="2:13" ht="16.5">
      <c r="B84" s="10" t="s">
        <v>192</v>
      </c>
      <c r="C84" s="7"/>
      <c r="D84" s="55">
        <f>+'Form 2'!D85</f>
        <v>0</v>
      </c>
      <c r="E84" s="53"/>
      <c r="F84" s="44"/>
      <c r="G84" s="52"/>
      <c r="H84" s="55">
        <f t="shared" si="13"/>
        <v>0</v>
      </c>
      <c r="I84" s="53"/>
      <c r="J84" s="44"/>
      <c r="K84" s="52"/>
      <c r="L84" s="55">
        <f t="shared" si="14"/>
        <v>0</v>
      </c>
      <c r="M84" s="54"/>
    </row>
    <row r="85" spans="2:13" ht="16.5">
      <c r="B85" s="10" t="s">
        <v>193</v>
      </c>
      <c r="C85" s="7"/>
      <c r="D85" s="55">
        <f>+'Form 2'!D86</f>
        <v>0</v>
      </c>
      <c r="E85" s="53"/>
      <c r="F85" s="44"/>
      <c r="G85" s="52"/>
      <c r="H85" s="55">
        <f t="shared" si="13"/>
        <v>0</v>
      </c>
      <c r="I85" s="53"/>
      <c r="J85" s="44"/>
      <c r="K85" s="52"/>
      <c r="L85" s="55">
        <f t="shared" si="14"/>
        <v>0</v>
      </c>
      <c r="M85" s="54"/>
    </row>
    <row r="86" spans="2:13" ht="16.5">
      <c r="B86" s="10" t="s">
        <v>194</v>
      </c>
      <c r="C86" s="7"/>
      <c r="D86" s="55">
        <f>+'Form 2'!D87</f>
        <v>0</v>
      </c>
      <c r="E86" s="53"/>
      <c r="F86" s="44"/>
      <c r="G86" s="52"/>
      <c r="H86" s="55">
        <f t="shared" si="13"/>
        <v>0</v>
      </c>
      <c r="I86" s="53"/>
      <c r="J86" s="44"/>
      <c r="K86" s="52"/>
      <c r="L86" s="55">
        <f t="shared" si="14"/>
        <v>0</v>
      </c>
      <c r="M86" s="54"/>
    </row>
    <row r="87" spans="2:13" ht="16.5">
      <c r="B87" s="10" t="s">
        <v>195</v>
      </c>
      <c r="C87" s="7"/>
      <c r="D87" s="55">
        <f>+'Form 2'!D88</f>
        <v>0</v>
      </c>
      <c r="E87" s="53"/>
      <c r="F87" s="44"/>
      <c r="G87" s="52"/>
      <c r="H87" s="55">
        <f t="shared" si="13"/>
        <v>0</v>
      </c>
      <c r="I87" s="53"/>
      <c r="J87" s="44"/>
      <c r="K87" s="52"/>
      <c r="L87" s="55">
        <f t="shared" si="14"/>
        <v>0</v>
      </c>
      <c r="M87" s="54"/>
    </row>
    <row r="88" spans="2:13" ht="16.5">
      <c r="B88" s="10" t="s">
        <v>196</v>
      </c>
      <c r="C88" s="7"/>
      <c r="D88" s="55">
        <f>+'Form 2'!D89</f>
        <v>0</v>
      </c>
      <c r="E88" s="53"/>
      <c r="F88" s="44"/>
      <c r="G88" s="52"/>
      <c r="H88" s="55">
        <f t="shared" si="13"/>
        <v>0</v>
      </c>
      <c r="I88" s="53"/>
      <c r="J88" s="44"/>
      <c r="K88" s="52"/>
      <c r="L88" s="55">
        <f t="shared" si="14"/>
        <v>0</v>
      </c>
      <c r="M88" s="54"/>
    </row>
    <row r="89" spans="2:13" ht="16.5">
      <c r="B89" s="10" t="s">
        <v>197</v>
      </c>
      <c r="C89" s="7"/>
      <c r="D89" s="55">
        <f>+'Form 2'!D90</f>
        <v>0</v>
      </c>
      <c r="E89" s="53"/>
      <c r="F89" s="44"/>
      <c r="G89" s="52"/>
      <c r="H89" s="55">
        <f t="shared" ref="H89" si="15">D89</f>
        <v>0</v>
      </c>
      <c r="I89" s="53"/>
      <c r="J89" s="44"/>
      <c r="K89" s="52"/>
      <c r="L89" s="55">
        <f t="shared" ref="L89" si="16">H89-D89</f>
        <v>0</v>
      </c>
      <c r="M89" s="54"/>
    </row>
    <row r="90" spans="2:13" ht="16.5">
      <c r="B90" s="10" t="s">
        <v>198</v>
      </c>
      <c r="C90" s="7"/>
      <c r="D90" s="55">
        <f>+'Form 2'!D91</f>
        <v>0</v>
      </c>
      <c r="E90" s="53"/>
      <c r="F90" s="44"/>
      <c r="G90" s="52"/>
      <c r="H90" s="55">
        <f t="shared" si="13"/>
        <v>0</v>
      </c>
      <c r="I90" s="53"/>
      <c r="J90" s="44"/>
      <c r="K90" s="52"/>
      <c r="L90" s="55">
        <f t="shared" si="14"/>
        <v>0</v>
      </c>
      <c r="M90" s="54"/>
    </row>
    <row r="91" spans="2:13" ht="16.5">
      <c r="B91" s="22" t="s">
        <v>199</v>
      </c>
      <c r="C91" s="7"/>
      <c r="D91" s="55">
        <f>+'Form 2'!D92</f>
        <v>0</v>
      </c>
      <c r="E91" s="53"/>
      <c r="F91" s="44"/>
      <c r="G91" s="52"/>
      <c r="H91" s="55">
        <f t="shared" si="13"/>
        <v>0</v>
      </c>
      <c r="I91" s="53"/>
      <c r="J91" s="44"/>
      <c r="K91" s="52"/>
      <c r="L91" s="55">
        <f t="shared" si="14"/>
        <v>0</v>
      </c>
      <c r="M91" s="54"/>
    </row>
    <row r="92" spans="2:13" ht="16.5">
      <c r="B92" s="22" t="s">
        <v>199</v>
      </c>
      <c r="C92" s="7"/>
      <c r="D92" s="45">
        <f>+'Form 2'!D93</f>
        <v>0</v>
      </c>
      <c r="E92" s="53"/>
      <c r="F92" s="44"/>
      <c r="G92" s="52"/>
      <c r="H92" s="45">
        <f t="shared" si="13"/>
        <v>0</v>
      </c>
      <c r="I92" s="53"/>
      <c r="J92" s="44"/>
      <c r="K92" s="52"/>
      <c r="L92" s="45">
        <f t="shared" si="14"/>
        <v>0</v>
      </c>
      <c r="M92" s="54"/>
    </row>
    <row r="93" spans="2:13" ht="6.75" customHeight="1">
      <c r="B93" s="3"/>
      <c r="C93" s="7"/>
      <c r="D93" s="41"/>
      <c r="E93" s="54"/>
      <c r="G93" s="7"/>
      <c r="H93" s="41"/>
      <c r="I93" s="54"/>
      <c r="K93" s="7"/>
      <c r="L93" s="41"/>
      <c r="M93" s="54"/>
    </row>
    <row r="94" spans="2:13" ht="15.75">
      <c r="B94" s="11" t="str">
        <f>+'Form 2'!B95</f>
        <v>Bad Debt Provision 3%</v>
      </c>
      <c r="C94" s="7"/>
      <c r="D94" s="23">
        <f>ROUND(((D38+D82+D36+D35+D34+D24+D17+D75+D10+D9)/97*3),0)</f>
        <v>127920</v>
      </c>
      <c r="E94" s="17">
        <f>+D94/$D$96</f>
        <v>2.7107438016528925E-2</v>
      </c>
      <c r="G94" s="7"/>
      <c r="H94" s="23">
        <f>ROUND(((H38+H82+H36+H35+H34+H24+H17+H75+H10+H9)/97*3),0)</f>
        <v>127920</v>
      </c>
      <c r="I94" s="17">
        <f>+H94/$H$96</f>
        <v>2.7107438016528925E-2</v>
      </c>
      <c r="K94" s="7"/>
      <c r="L94" s="23">
        <f>H94-D94</f>
        <v>0</v>
      </c>
      <c r="M94" s="17">
        <f>+L94/$D$96</f>
        <v>0</v>
      </c>
    </row>
    <row r="95" spans="2:13" ht="6.75" customHeight="1" thickBot="1">
      <c r="B95" s="3"/>
      <c r="C95" s="7"/>
      <c r="D95" s="31"/>
      <c r="E95" s="54"/>
      <c r="G95" s="7"/>
      <c r="H95" s="31"/>
      <c r="I95" s="54"/>
      <c r="K95" s="7"/>
      <c r="L95" s="31"/>
      <c r="M95" s="54"/>
    </row>
    <row r="96" spans="2:13" ht="18.75" thickBot="1">
      <c r="B96" s="13" t="str">
        <f>+'Form 2'!B97</f>
        <v>TOTAL EXPENDITURE</v>
      </c>
      <c r="C96" s="14"/>
      <c r="D96" s="46">
        <f>D36+D35+D34+D24+D17+D38+D94+D82+D75</f>
        <v>4719000</v>
      </c>
      <c r="E96" s="24">
        <f>SUM(E17:E95)</f>
        <v>0.99999999999999989</v>
      </c>
      <c r="G96" s="14"/>
      <c r="H96" s="46">
        <f>H36+H35+H34+H24+H17+H38+H94+H82+H75</f>
        <v>4719000</v>
      </c>
      <c r="I96" s="24">
        <f>SUM(I17:I95)</f>
        <v>0.99999999999999989</v>
      </c>
      <c r="K96" s="14"/>
      <c r="L96" s="46">
        <f>L36+L35+L34+L24+L17+L38+L94+L82+L75</f>
        <v>0</v>
      </c>
      <c r="M96" s="24">
        <f>SUM(M17:M95)</f>
        <v>0</v>
      </c>
    </row>
    <row r="97" spans="2:13" ht="17.25" thickBot="1">
      <c r="B97" s="3"/>
      <c r="C97" s="25"/>
      <c r="D97" s="56"/>
      <c r="E97" s="26"/>
      <c r="G97" s="25"/>
      <c r="H97" s="56"/>
      <c r="I97" s="26"/>
      <c r="K97" s="25"/>
      <c r="L97" s="56"/>
      <c r="M97" s="26"/>
    </row>
    <row r="98" spans="2:13" ht="6.75" customHeight="1">
      <c r="B98" s="3"/>
      <c r="C98" s="3"/>
      <c r="D98" s="41"/>
      <c r="E98" s="9"/>
      <c r="G98" s="3"/>
      <c r="H98" s="41"/>
      <c r="I98" s="9"/>
      <c r="K98" s="3"/>
      <c r="L98" s="41"/>
      <c r="M98" s="9"/>
    </row>
    <row r="99" spans="2:13" ht="15">
      <c r="B99" s="11" t="str">
        <f>+'Form 2'!B100</f>
        <v>(SURPLUS) / SHORTFALL</v>
      </c>
      <c r="C99" s="20"/>
      <c r="D99" s="31">
        <f>(D96+D12)</f>
        <v>0</v>
      </c>
      <c r="E99" s="15"/>
      <c r="G99" s="20"/>
      <c r="H99" s="31">
        <f>(H96+H12)</f>
        <v>0</v>
      </c>
      <c r="I99" s="15"/>
      <c r="K99" s="20"/>
      <c r="L99" s="31">
        <f>(L96+L12)</f>
        <v>0</v>
      </c>
      <c r="M99" s="15"/>
    </row>
  </sheetData>
  <sheetProtection algorithmName="SHA-512" hashValue="bxzlQrra3JG4DFjWCwpYhIj6XdcpmulEG160if+GQ3m69B4BT89+b+p5zH+987FsynCFQvrTJL8pGkFCbNbjXA==" saltValue="WLZZmTevu65QdrWKC6cfwA==" spinCount="100000" sheet="1" selectLockedCells="1"/>
  <sortState xmlns:xlrd2="http://schemas.microsoft.com/office/spreadsheetml/2017/richdata2" ref="A38:M70">
    <sortCondition ref="B38:B70"/>
  </sortState>
  <mergeCells count="6">
    <mergeCell ref="C5:E5"/>
    <mergeCell ref="G5:I5"/>
    <mergeCell ref="K5:M5"/>
    <mergeCell ref="B1:M1"/>
    <mergeCell ref="B2:M2"/>
    <mergeCell ref="B3:M3"/>
  </mergeCells>
  <dataValidations count="2">
    <dataValidation type="whole" operator="equal" showErrorMessage="1" errorTitle="Budget must balance" error="Budget is not balancing. Income and expenditure must be equal." sqref="D99 H99 L99" xr:uid="{00000000-0002-0000-0200-000000000000}">
      <formula1>0</formula1>
    </dataValidation>
    <dataValidation type="whole" allowBlank="1" showErrorMessage="1" errorTitle="Income must be a credit" error="Add a minus infront of the value" sqref="H8:H10 D8:D10 L8:L10" xr:uid="{00000000-0002-0000-0200-000001000000}">
      <formula1>-9.99999999999999E+44</formula1>
      <formula2>0</formula2>
    </dataValidation>
  </dataValidations>
  <pageMargins left="0.45" right="0.19" top="0.39370078740157483" bottom="0.23622047244094491" header="0.31496062992125984" footer="0.31496062992125984"/>
  <pageSetup paperSize="9" scale="73" fitToHeight="2"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72"/>
  <sheetViews>
    <sheetView workbookViewId="0">
      <selection activeCell="G20" sqref="G20"/>
    </sheetView>
  </sheetViews>
  <sheetFormatPr defaultColWidth="9.140625" defaultRowHeight="13.5"/>
  <cols>
    <col min="1" max="1" width="2.85546875" style="3" customWidth="1"/>
    <col min="2" max="2" width="55" style="3" customWidth="1"/>
    <col min="3" max="3" width="2.85546875" style="3" customWidth="1"/>
    <col min="4" max="4" width="14.5703125" style="3" customWidth="1"/>
    <col min="5" max="5" width="7.85546875" style="3" bestFit="1" customWidth="1"/>
    <col min="6" max="6" width="4.5703125" style="3" customWidth="1"/>
    <col min="7" max="7" width="9.140625" style="3"/>
    <col min="8" max="9" width="10.140625" style="3" bestFit="1" customWidth="1"/>
    <col min="10" max="16384" width="9.140625" style="3"/>
  </cols>
  <sheetData>
    <row r="1" spans="1:7" ht="36.75" customHeight="1">
      <c r="A1" s="234" t="str">
        <f>'Form 2'!B1:B1</f>
        <v>MUIZENBERG IMPROVEMENT DISTRICT</v>
      </c>
      <c r="B1" s="234"/>
      <c r="C1" s="234"/>
      <c r="D1" s="234"/>
      <c r="E1" s="234"/>
      <c r="F1" s="121"/>
    </row>
    <row r="2" spans="1:7" ht="20.25">
      <c r="A2" s="235" t="str">
        <f>'Form 3'!B2</f>
        <v>2025/26</v>
      </c>
      <c r="B2" s="235"/>
      <c r="C2" s="235"/>
      <c r="D2" s="235"/>
      <c r="E2" s="235"/>
      <c r="F2" s="121"/>
    </row>
    <row r="3" spans="1:7" ht="20.25">
      <c r="A3" s="236" t="s">
        <v>213</v>
      </c>
      <c r="B3" s="236"/>
      <c r="C3" s="236"/>
      <c r="D3" s="236"/>
      <c r="E3" s="236"/>
      <c r="F3" s="121"/>
    </row>
    <row r="4" spans="1:7" ht="18">
      <c r="A4" s="122"/>
      <c r="B4" s="122"/>
      <c r="C4" s="121"/>
      <c r="D4" s="121"/>
    </row>
    <row r="5" spans="1:7" ht="18.75" thickBot="1">
      <c r="A5" s="123"/>
      <c r="B5" s="122"/>
      <c r="C5" s="237" t="s">
        <v>210</v>
      </c>
      <c r="D5" s="238"/>
      <c r="E5" s="238"/>
      <c r="F5" s="124"/>
    </row>
    <row r="6" spans="1:7" ht="18">
      <c r="A6" s="123"/>
      <c r="B6" s="5" t="s">
        <v>13</v>
      </c>
      <c r="C6" s="125"/>
      <c r="D6" s="126" t="s">
        <v>150</v>
      </c>
      <c r="E6" s="127" t="s">
        <v>151</v>
      </c>
      <c r="F6" s="128"/>
    </row>
    <row r="7" spans="1:7">
      <c r="C7" s="7"/>
      <c r="E7" s="129"/>
    </row>
    <row r="8" spans="1:7">
      <c r="A8" s="130" t="s">
        <v>214</v>
      </c>
      <c r="B8" s="131" t="s">
        <v>186</v>
      </c>
      <c r="C8" s="132"/>
      <c r="D8" s="117">
        <f>SUM(D9:D19)</f>
        <v>135000</v>
      </c>
      <c r="E8" s="133">
        <f>+D8/D32</f>
        <v>0.2967032967032967</v>
      </c>
    </row>
    <row r="9" spans="1:7">
      <c r="A9" s="134"/>
      <c r="B9" s="135" t="s">
        <v>215</v>
      </c>
      <c r="C9" s="132"/>
      <c r="D9" s="154">
        <v>135000</v>
      </c>
      <c r="E9" s="136"/>
      <c r="G9" s="137" t="s">
        <v>151</v>
      </c>
    </row>
    <row r="10" spans="1:7" hidden="1">
      <c r="A10" s="134"/>
      <c r="B10" s="135" t="s">
        <v>216</v>
      </c>
      <c r="C10" s="132"/>
      <c r="D10" s="138"/>
      <c r="E10" s="136"/>
    </row>
    <row r="11" spans="1:7" hidden="1">
      <c r="A11" s="134"/>
      <c r="B11" s="135" t="s">
        <v>216</v>
      </c>
      <c r="C11" s="132"/>
      <c r="D11" s="138"/>
      <c r="E11" s="136"/>
    </row>
    <row r="12" spans="1:7" hidden="1">
      <c r="A12" s="134"/>
      <c r="B12" s="135" t="s">
        <v>216</v>
      </c>
      <c r="C12" s="132"/>
      <c r="D12" s="138"/>
      <c r="E12" s="136"/>
    </row>
    <row r="13" spans="1:7" hidden="1">
      <c r="A13" s="134"/>
      <c r="B13" s="135" t="s">
        <v>216</v>
      </c>
      <c r="C13" s="132"/>
      <c r="D13" s="138"/>
      <c r="E13" s="136"/>
    </row>
    <row r="14" spans="1:7" hidden="1">
      <c r="A14" s="134"/>
      <c r="B14" s="135" t="s">
        <v>216</v>
      </c>
      <c r="C14" s="132"/>
      <c r="D14" s="138"/>
      <c r="E14" s="136"/>
    </row>
    <row r="15" spans="1:7" hidden="1">
      <c r="A15" s="134"/>
      <c r="B15" s="135" t="s">
        <v>216</v>
      </c>
      <c r="C15" s="132"/>
      <c r="D15" s="138"/>
      <c r="E15" s="136"/>
    </row>
    <row r="16" spans="1:7" hidden="1">
      <c r="A16" s="134"/>
      <c r="B16" s="135" t="s">
        <v>216</v>
      </c>
      <c r="C16" s="132"/>
      <c r="D16" s="138"/>
      <c r="E16" s="136"/>
    </row>
    <row r="17" spans="1:9" hidden="1">
      <c r="A17" s="139"/>
      <c r="B17" s="135" t="s">
        <v>216</v>
      </c>
      <c r="C17" s="132"/>
      <c r="D17" s="138"/>
      <c r="E17" s="136"/>
      <c r="H17" s="140"/>
      <c r="I17" s="141"/>
    </row>
    <row r="18" spans="1:9" hidden="1">
      <c r="A18" s="139"/>
      <c r="B18" s="135" t="s">
        <v>216</v>
      </c>
      <c r="C18" s="132"/>
      <c r="D18" s="138"/>
      <c r="E18" s="136"/>
      <c r="H18" s="140"/>
      <c r="I18" s="141"/>
    </row>
    <row r="19" spans="1:9" hidden="1">
      <c r="A19" s="139"/>
      <c r="B19" s="135" t="s">
        <v>216</v>
      </c>
      <c r="C19" s="132"/>
      <c r="D19" s="142"/>
      <c r="E19" s="136"/>
      <c r="H19" s="140"/>
      <c r="I19" s="141"/>
    </row>
    <row r="20" spans="1:9" ht="10.35" customHeight="1">
      <c r="A20" s="139"/>
      <c r="B20" s="134"/>
      <c r="C20" s="132"/>
      <c r="D20" s="116"/>
      <c r="E20" s="136"/>
      <c r="H20" s="140"/>
      <c r="I20" s="141"/>
    </row>
    <row r="21" spans="1:9">
      <c r="A21" s="130" t="s">
        <v>217</v>
      </c>
      <c r="B21" s="131" t="s">
        <v>190</v>
      </c>
      <c r="C21" s="132"/>
      <c r="D21" s="117">
        <f>SUM(D22:D30)</f>
        <v>320000</v>
      </c>
      <c r="E21" s="118">
        <f>D21/D32</f>
        <v>0.70329670329670335</v>
      </c>
    </row>
    <row r="22" spans="1:9">
      <c r="A22" s="139"/>
      <c r="B22" s="134" t="s">
        <v>191</v>
      </c>
      <c r="C22" s="132"/>
      <c r="D22" s="154">
        <v>320000</v>
      </c>
      <c r="E22" s="119"/>
    </row>
    <row r="23" spans="1:9" hidden="1">
      <c r="A23" s="139"/>
      <c r="B23" s="134" t="s">
        <v>192</v>
      </c>
      <c r="C23" s="132"/>
      <c r="D23" s="143"/>
      <c r="E23" s="119"/>
    </row>
    <row r="24" spans="1:9" hidden="1">
      <c r="A24" s="139"/>
      <c r="B24" s="134" t="s">
        <v>193</v>
      </c>
      <c r="C24" s="132"/>
      <c r="D24" s="138"/>
      <c r="E24" s="119"/>
    </row>
    <row r="25" spans="1:9" hidden="1">
      <c r="A25" s="139"/>
      <c r="B25" s="134" t="s">
        <v>194</v>
      </c>
      <c r="C25" s="132"/>
      <c r="D25" s="138"/>
      <c r="E25" s="119"/>
    </row>
    <row r="26" spans="1:9" hidden="1">
      <c r="A26" s="139"/>
      <c r="B26" s="134" t="s">
        <v>195</v>
      </c>
      <c r="C26" s="132"/>
      <c r="D26" s="143"/>
      <c r="E26" s="119"/>
    </row>
    <row r="27" spans="1:9" hidden="1">
      <c r="A27" s="139"/>
      <c r="B27" s="134" t="s">
        <v>196</v>
      </c>
      <c r="C27" s="132"/>
      <c r="D27" s="138"/>
      <c r="E27" s="119"/>
    </row>
    <row r="28" spans="1:9" hidden="1">
      <c r="A28" s="139"/>
      <c r="B28" s="134" t="s">
        <v>198</v>
      </c>
      <c r="C28" s="132"/>
      <c r="D28" s="138"/>
      <c r="E28" s="119"/>
    </row>
    <row r="29" spans="1:9" hidden="1">
      <c r="A29" s="139"/>
      <c r="B29" s="135" t="s">
        <v>218</v>
      </c>
      <c r="C29" s="144"/>
      <c r="D29" s="138"/>
      <c r="E29" s="119"/>
    </row>
    <row r="30" spans="1:9" hidden="1">
      <c r="A30" s="139"/>
      <c r="B30" s="135" t="s">
        <v>218</v>
      </c>
      <c r="C30" s="132"/>
      <c r="D30" s="142"/>
      <c r="E30" s="119"/>
    </row>
    <row r="31" spans="1:9" ht="14.25" thickBot="1">
      <c r="A31" s="139"/>
      <c r="B31" s="134"/>
      <c r="C31" s="132"/>
      <c r="D31" s="116"/>
      <c r="E31" s="119"/>
    </row>
    <row r="32" spans="1:9" s="140" customFormat="1" ht="14.25" thickBot="1">
      <c r="A32" s="145" t="s">
        <v>151</v>
      </c>
      <c r="B32" s="145" t="s">
        <v>201</v>
      </c>
      <c r="C32" s="146"/>
      <c r="D32" s="147">
        <f>D8+D21</f>
        <v>455000</v>
      </c>
      <c r="E32" s="148">
        <f>SUM(E8:E31)</f>
        <v>1</v>
      </c>
    </row>
    <row r="33" spans="1:5" ht="14.25" thickBot="1">
      <c r="A33" s="134"/>
      <c r="B33" s="134"/>
      <c r="C33" s="149"/>
      <c r="D33" s="150"/>
      <c r="E33" s="151"/>
    </row>
    <row r="34" spans="1:5">
      <c r="A34" s="134"/>
      <c r="B34" s="134"/>
      <c r="C34" s="134"/>
      <c r="D34" s="152"/>
      <c r="E34" s="134"/>
    </row>
    <row r="35" spans="1:5">
      <c r="A35" s="134"/>
      <c r="B35" s="134"/>
      <c r="C35" s="134"/>
      <c r="D35" s="134"/>
      <c r="E35" s="134"/>
    </row>
    <row r="36" spans="1:5">
      <c r="A36" s="134"/>
      <c r="B36" s="134"/>
      <c r="C36" s="134"/>
      <c r="D36" s="134"/>
      <c r="E36" s="134"/>
    </row>
    <row r="37" spans="1:5">
      <c r="A37" s="134"/>
      <c r="B37" s="134"/>
      <c r="C37" s="134"/>
      <c r="D37" s="134"/>
      <c r="E37" s="134"/>
    </row>
    <row r="38" spans="1:5">
      <c r="A38" s="134"/>
      <c r="B38" s="134"/>
      <c r="C38" s="134"/>
      <c r="D38" s="134"/>
      <c r="E38" s="134"/>
    </row>
    <row r="39" spans="1:5">
      <c r="A39" s="134"/>
      <c r="B39" s="134"/>
      <c r="C39" s="134"/>
      <c r="D39" s="134"/>
      <c r="E39" s="134"/>
    </row>
    <row r="40" spans="1:5">
      <c r="A40" s="134"/>
      <c r="B40" s="134"/>
      <c r="C40" s="134"/>
      <c r="D40" s="134"/>
      <c r="E40" s="134"/>
    </row>
    <row r="41" spans="1:5">
      <c r="A41" s="134"/>
      <c r="B41" s="134"/>
      <c r="C41" s="134"/>
      <c r="D41" s="134"/>
      <c r="E41" s="134"/>
    </row>
    <row r="42" spans="1:5">
      <c r="A42" s="134"/>
      <c r="B42" s="134"/>
      <c r="C42" s="134"/>
      <c r="D42" s="134"/>
      <c r="E42" s="134"/>
    </row>
    <row r="43" spans="1:5">
      <c r="A43" s="134"/>
      <c r="B43" s="134"/>
      <c r="C43" s="134"/>
      <c r="D43" s="134"/>
      <c r="E43" s="134"/>
    </row>
    <row r="44" spans="1:5">
      <c r="A44" s="134"/>
      <c r="B44" s="134"/>
      <c r="C44" s="134"/>
      <c r="D44" s="134"/>
      <c r="E44" s="134"/>
    </row>
    <row r="45" spans="1:5">
      <c r="A45" s="134"/>
      <c r="B45" s="134"/>
      <c r="C45" s="134"/>
      <c r="D45" s="134"/>
      <c r="E45" s="134"/>
    </row>
    <row r="46" spans="1:5">
      <c r="A46" s="134"/>
      <c r="B46" s="134"/>
      <c r="C46" s="134"/>
      <c r="D46" s="134"/>
      <c r="E46" s="134"/>
    </row>
    <row r="47" spans="1:5">
      <c r="A47" s="134"/>
      <c r="B47" s="134"/>
      <c r="C47" s="134"/>
      <c r="D47" s="134"/>
      <c r="E47" s="134"/>
    </row>
    <row r="72" spans="2:4">
      <c r="B72" s="3" t="s">
        <v>219</v>
      </c>
      <c r="D72" s="153" t="e">
        <f>D8+#REF!+#REF!+#REF!+#REF!+#REF!+(SUM(D17:D19))</f>
        <v>#REF!</v>
      </c>
    </row>
  </sheetData>
  <sheetProtection selectLockedCells="1"/>
  <mergeCells count="4">
    <mergeCell ref="A1:E1"/>
    <mergeCell ref="A2:E2"/>
    <mergeCell ref="A3:E3"/>
    <mergeCell ref="C5:E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48"/>
  <sheetViews>
    <sheetView workbookViewId="0">
      <selection activeCell="B4" sqref="B4"/>
    </sheetView>
  </sheetViews>
  <sheetFormatPr defaultColWidth="9.140625" defaultRowHeight="13.5"/>
  <cols>
    <col min="1" max="1" width="17.85546875" style="60" customWidth="1"/>
    <col min="2" max="2" width="27.85546875" style="61" customWidth="1"/>
    <col min="3" max="3" width="21.42578125" style="61" customWidth="1"/>
    <col min="4" max="4" width="14.140625" style="61" bestFit="1" customWidth="1"/>
    <col min="5" max="9" width="12.85546875" style="61" bestFit="1" customWidth="1"/>
    <col min="10" max="10" width="14.140625" style="61" bestFit="1" customWidth="1"/>
    <col min="11" max="11" width="12.85546875" style="61" bestFit="1" customWidth="1"/>
    <col min="12" max="12" width="11.140625" style="62" bestFit="1" customWidth="1"/>
    <col min="13" max="13" width="10.140625" style="63" customWidth="1"/>
    <col min="14" max="14" width="11.85546875" style="62" bestFit="1" customWidth="1"/>
    <col min="15" max="16384" width="9.140625" style="61"/>
  </cols>
  <sheetData>
    <row r="1" spans="1:14" s="20" customFormat="1" ht="20.25">
      <c r="A1" s="243" t="s">
        <v>220</v>
      </c>
      <c r="B1" s="243"/>
      <c r="C1" s="243"/>
      <c r="D1" s="243"/>
      <c r="E1" s="243"/>
      <c r="F1" s="243"/>
      <c r="G1" s="243"/>
      <c r="H1" s="243"/>
      <c r="I1" s="243"/>
      <c r="J1" s="243"/>
      <c r="K1" s="243"/>
      <c r="L1" s="243"/>
      <c r="M1" s="243"/>
      <c r="N1" s="243"/>
    </row>
    <row r="2" spans="1:14" ht="14.25" thickBot="1"/>
    <row r="3" spans="1:14" s="72" customFormat="1" ht="39" thickBot="1">
      <c r="A3" s="64" t="s">
        <v>221</v>
      </c>
      <c r="B3" s="65" t="s">
        <v>222</v>
      </c>
      <c r="C3" s="66" t="s">
        <v>223</v>
      </c>
      <c r="D3" s="67" t="s">
        <v>224</v>
      </c>
      <c r="E3" s="68" t="s">
        <v>225</v>
      </c>
      <c r="F3" s="68" t="s">
        <v>226</v>
      </c>
      <c r="G3" s="68" t="s">
        <v>227</v>
      </c>
      <c r="H3" s="68" t="s">
        <v>228</v>
      </c>
      <c r="I3" s="68" t="s">
        <v>229</v>
      </c>
      <c r="J3" s="68" t="s">
        <v>230</v>
      </c>
      <c r="K3" s="68" t="s">
        <v>231</v>
      </c>
      <c r="L3" s="69" t="s">
        <v>232</v>
      </c>
      <c r="M3" s="70" t="s">
        <v>233</v>
      </c>
      <c r="N3" s="71" t="s">
        <v>234</v>
      </c>
    </row>
    <row r="4" spans="1:14">
      <c r="A4" s="73" t="s">
        <v>235</v>
      </c>
      <c r="B4" s="74"/>
      <c r="C4" s="74"/>
      <c r="D4" s="75"/>
      <c r="E4" s="76" t="e">
        <f>+N4*12</f>
        <v>#DIV/0!</v>
      </c>
      <c r="F4" s="76" t="e">
        <f>+N4*12</f>
        <v>#DIV/0!</v>
      </c>
      <c r="G4" s="76" t="e">
        <f t="shared" ref="G4:G18" si="0">+N4*12</f>
        <v>#DIV/0!</v>
      </c>
      <c r="H4" s="76" t="e">
        <f t="shared" ref="H4:H23" si="1">+N4*12</f>
        <v>#DIV/0!</v>
      </c>
      <c r="I4" s="76" t="e">
        <f t="shared" ref="I4:I28" si="2">+N4*12</f>
        <v>#DIV/0!</v>
      </c>
      <c r="J4" s="76" t="e">
        <f>SUM(E4:I4)</f>
        <v>#DIV/0!</v>
      </c>
      <c r="K4" s="76" t="e">
        <f>D4-J4</f>
        <v>#DIV/0!</v>
      </c>
      <c r="L4" s="77" t="e">
        <f>+D4/M4</f>
        <v>#DIV/0!</v>
      </c>
      <c r="M4" s="78"/>
      <c r="N4" s="79" t="e">
        <f>+L4/12</f>
        <v>#DIV/0!</v>
      </c>
    </row>
    <row r="5" spans="1:14">
      <c r="A5" s="80"/>
      <c r="B5" s="81"/>
      <c r="C5" s="81"/>
      <c r="D5" s="82"/>
      <c r="E5" s="83" t="e">
        <f t="shared" ref="E5:E7" si="3">+N5*12</f>
        <v>#DIV/0!</v>
      </c>
      <c r="F5" s="83" t="e">
        <f t="shared" ref="F5:F7" si="4">+N5*12</f>
        <v>#DIV/0!</v>
      </c>
      <c r="G5" s="83" t="e">
        <f t="shared" si="0"/>
        <v>#DIV/0!</v>
      </c>
      <c r="H5" s="83" t="e">
        <f t="shared" si="1"/>
        <v>#DIV/0!</v>
      </c>
      <c r="I5" s="83" t="e">
        <f t="shared" si="2"/>
        <v>#DIV/0!</v>
      </c>
      <c r="J5" s="83" t="e">
        <f t="shared" ref="J5:J7" si="5">SUM(E5:I5)</f>
        <v>#DIV/0!</v>
      </c>
      <c r="K5" s="83" t="e">
        <f t="shared" ref="K5:K7" si="6">D5-J5</f>
        <v>#DIV/0!</v>
      </c>
      <c r="L5" s="84" t="e">
        <f t="shared" ref="L5:L28" si="7">+D5/M5</f>
        <v>#DIV/0!</v>
      </c>
      <c r="M5" s="85"/>
      <c r="N5" s="86" t="e">
        <f t="shared" ref="N5:N7" si="8">+L5/12</f>
        <v>#DIV/0!</v>
      </c>
    </row>
    <row r="6" spans="1:14">
      <c r="A6" s="80"/>
      <c r="B6" s="81"/>
      <c r="C6" s="81"/>
      <c r="D6" s="82"/>
      <c r="E6" s="83" t="e">
        <f t="shared" si="3"/>
        <v>#DIV/0!</v>
      </c>
      <c r="F6" s="83" t="e">
        <f t="shared" si="4"/>
        <v>#DIV/0!</v>
      </c>
      <c r="G6" s="83" t="e">
        <f t="shared" si="0"/>
        <v>#DIV/0!</v>
      </c>
      <c r="H6" s="83" t="e">
        <f t="shared" si="1"/>
        <v>#DIV/0!</v>
      </c>
      <c r="I6" s="83" t="e">
        <f t="shared" si="2"/>
        <v>#DIV/0!</v>
      </c>
      <c r="J6" s="83" t="e">
        <f t="shared" si="5"/>
        <v>#DIV/0!</v>
      </c>
      <c r="K6" s="83" t="e">
        <f t="shared" si="6"/>
        <v>#DIV/0!</v>
      </c>
      <c r="L6" s="84" t="e">
        <f t="shared" si="7"/>
        <v>#DIV/0!</v>
      </c>
      <c r="M6" s="85"/>
      <c r="N6" s="86" t="e">
        <f t="shared" si="8"/>
        <v>#DIV/0!</v>
      </c>
    </row>
    <row r="7" spans="1:14">
      <c r="A7" s="80"/>
      <c r="B7" s="81"/>
      <c r="C7" s="81"/>
      <c r="D7" s="82"/>
      <c r="E7" s="83" t="e">
        <f t="shared" si="3"/>
        <v>#DIV/0!</v>
      </c>
      <c r="F7" s="83" t="e">
        <f t="shared" si="4"/>
        <v>#DIV/0!</v>
      </c>
      <c r="G7" s="83" t="e">
        <f t="shared" si="0"/>
        <v>#DIV/0!</v>
      </c>
      <c r="H7" s="83" t="e">
        <f t="shared" si="1"/>
        <v>#DIV/0!</v>
      </c>
      <c r="I7" s="83" t="e">
        <f t="shared" si="2"/>
        <v>#DIV/0!</v>
      </c>
      <c r="J7" s="83" t="e">
        <f t="shared" si="5"/>
        <v>#DIV/0!</v>
      </c>
      <c r="K7" s="83" t="e">
        <f t="shared" si="6"/>
        <v>#DIV/0!</v>
      </c>
      <c r="L7" s="84" t="e">
        <f t="shared" si="7"/>
        <v>#DIV/0!</v>
      </c>
      <c r="M7" s="85"/>
      <c r="N7" s="86" t="e">
        <f t="shared" si="8"/>
        <v>#DIV/0!</v>
      </c>
    </row>
    <row r="8" spans="1:14">
      <c r="A8" s="80"/>
      <c r="B8" s="81"/>
      <c r="C8" s="81"/>
      <c r="D8" s="82"/>
      <c r="E8" s="83" t="e">
        <f>+N8*12</f>
        <v>#DIV/0!</v>
      </c>
      <c r="F8" s="83" t="e">
        <f>+N8*12</f>
        <v>#DIV/0!</v>
      </c>
      <c r="G8" s="83" t="e">
        <f t="shared" si="0"/>
        <v>#DIV/0!</v>
      </c>
      <c r="H8" s="83" t="e">
        <f t="shared" si="1"/>
        <v>#DIV/0!</v>
      </c>
      <c r="I8" s="83" t="e">
        <f t="shared" si="2"/>
        <v>#DIV/0!</v>
      </c>
      <c r="J8" s="83" t="e">
        <f>SUM(E8:I8)</f>
        <v>#DIV/0!</v>
      </c>
      <c r="K8" s="83" t="e">
        <f>D8-J8</f>
        <v>#DIV/0!</v>
      </c>
      <c r="L8" s="84" t="e">
        <f t="shared" si="7"/>
        <v>#DIV/0!</v>
      </c>
      <c r="M8" s="85"/>
      <c r="N8" s="86" t="e">
        <f>+L8/12</f>
        <v>#DIV/0!</v>
      </c>
    </row>
    <row r="9" spans="1:14">
      <c r="A9" s="80" t="s">
        <v>236</v>
      </c>
      <c r="B9" s="81"/>
      <c r="C9" s="81"/>
      <c r="D9" s="82"/>
      <c r="E9" s="83"/>
      <c r="F9" s="83" t="e">
        <f>+N9*12</f>
        <v>#DIV/0!</v>
      </c>
      <c r="G9" s="83" t="e">
        <f t="shared" si="0"/>
        <v>#DIV/0!</v>
      </c>
      <c r="H9" s="83" t="e">
        <f t="shared" si="1"/>
        <v>#DIV/0!</v>
      </c>
      <c r="I9" s="83" t="e">
        <f t="shared" si="2"/>
        <v>#DIV/0!</v>
      </c>
      <c r="J9" s="83" t="e">
        <f>SUM(E9:I9)</f>
        <v>#DIV/0!</v>
      </c>
      <c r="K9" s="83" t="e">
        <f>D9-J9</f>
        <v>#DIV/0!</v>
      </c>
      <c r="L9" s="84" t="e">
        <f t="shared" si="7"/>
        <v>#DIV/0!</v>
      </c>
      <c r="M9" s="85"/>
      <c r="N9" s="86" t="e">
        <f t="shared" ref="N9:N28" si="9">+L9/12</f>
        <v>#DIV/0!</v>
      </c>
    </row>
    <row r="10" spans="1:14">
      <c r="A10" s="87"/>
      <c r="B10" s="81"/>
      <c r="C10" s="81"/>
      <c r="D10" s="82"/>
      <c r="E10" s="83"/>
      <c r="F10" s="83" t="e">
        <f t="shared" ref="F10:F12" si="10">+N10*12</f>
        <v>#DIV/0!</v>
      </c>
      <c r="G10" s="83" t="e">
        <f t="shared" si="0"/>
        <v>#DIV/0!</v>
      </c>
      <c r="H10" s="83" t="e">
        <f t="shared" si="1"/>
        <v>#DIV/0!</v>
      </c>
      <c r="I10" s="83" t="e">
        <f t="shared" si="2"/>
        <v>#DIV/0!</v>
      </c>
      <c r="J10" s="83" t="e">
        <f t="shared" ref="J10:J12" si="11">SUM(E10:I10)</f>
        <v>#DIV/0!</v>
      </c>
      <c r="K10" s="83" t="e">
        <f t="shared" ref="K10:K12" si="12">D10-J10</f>
        <v>#DIV/0!</v>
      </c>
      <c r="L10" s="84" t="e">
        <f t="shared" si="7"/>
        <v>#DIV/0!</v>
      </c>
      <c r="M10" s="85"/>
      <c r="N10" s="86" t="e">
        <f t="shared" si="9"/>
        <v>#DIV/0!</v>
      </c>
    </row>
    <row r="11" spans="1:14">
      <c r="A11" s="87"/>
      <c r="B11" s="81"/>
      <c r="C11" s="81"/>
      <c r="D11" s="82"/>
      <c r="E11" s="83"/>
      <c r="F11" s="83" t="e">
        <f t="shared" si="10"/>
        <v>#DIV/0!</v>
      </c>
      <c r="G11" s="83" t="e">
        <f t="shared" si="0"/>
        <v>#DIV/0!</v>
      </c>
      <c r="H11" s="83" t="e">
        <f t="shared" si="1"/>
        <v>#DIV/0!</v>
      </c>
      <c r="I11" s="83" t="e">
        <f t="shared" si="2"/>
        <v>#DIV/0!</v>
      </c>
      <c r="J11" s="83" t="e">
        <f t="shared" si="11"/>
        <v>#DIV/0!</v>
      </c>
      <c r="K11" s="83" t="e">
        <f t="shared" si="12"/>
        <v>#DIV/0!</v>
      </c>
      <c r="L11" s="84" t="e">
        <f t="shared" si="7"/>
        <v>#DIV/0!</v>
      </c>
      <c r="M11" s="85"/>
      <c r="N11" s="86" t="e">
        <f t="shared" si="9"/>
        <v>#DIV/0!</v>
      </c>
    </row>
    <row r="12" spans="1:14">
      <c r="A12" s="87"/>
      <c r="B12" s="81"/>
      <c r="C12" s="81"/>
      <c r="D12" s="82"/>
      <c r="E12" s="83"/>
      <c r="F12" s="83" t="e">
        <f t="shared" si="10"/>
        <v>#DIV/0!</v>
      </c>
      <c r="G12" s="83" t="e">
        <f t="shared" si="0"/>
        <v>#DIV/0!</v>
      </c>
      <c r="H12" s="83" t="e">
        <f t="shared" si="1"/>
        <v>#DIV/0!</v>
      </c>
      <c r="I12" s="83" t="e">
        <f t="shared" si="2"/>
        <v>#DIV/0!</v>
      </c>
      <c r="J12" s="83" t="e">
        <f t="shared" si="11"/>
        <v>#DIV/0!</v>
      </c>
      <c r="K12" s="83" t="e">
        <f t="shared" si="12"/>
        <v>#DIV/0!</v>
      </c>
      <c r="L12" s="84" t="e">
        <f t="shared" si="7"/>
        <v>#DIV/0!</v>
      </c>
      <c r="M12" s="85"/>
      <c r="N12" s="86" t="e">
        <f t="shared" si="9"/>
        <v>#DIV/0!</v>
      </c>
    </row>
    <row r="13" spans="1:14">
      <c r="A13" s="87"/>
      <c r="B13" s="81"/>
      <c r="C13" s="81"/>
      <c r="D13" s="82"/>
      <c r="E13" s="83"/>
      <c r="F13" s="83" t="e">
        <f>+N13*12</f>
        <v>#DIV/0!</v>
      </c>
      <c r="G13" s="83" t="e">
        <f t="shared" si="0"/>
        <v>#DIV/0!</v>
      </c>
      <c r="H13" s="83" t="e">
        <f t="shared" si="1"/>
        <v>#DIV/0!</v>
      </c>
      <c r="I13" s="83" t="e">
        <f t="shared" si="2"/>
        <v>#DIV/0!</v>
      </c>
      <c r="J13" s="83" t="e">
        <f>SUM(E13:I13)</f>
        <v>#DIV/0!</v>
      </c>
      <c r="K13" s="83" t="e">
        <f>D13-J13</f>
        <v>#DIV/0!</v>
      </c>
      <c r="L13" s="84" t="e">
        <f t="shared" si="7"/>
        <v>#DIV/0!</v>
      </c>
      <c r="M13" s="85"/>
      <c r="N13" s="86" t="e">
        <f t="shared" si="9"/>
        <v>#DIV/0!</v>
      </c>
    </row>
    <row r="14" spans="1:14">
      <c r="A14" s="80" t="s">
        <v>237</v>
      </c>
      <c r="B14" s="81"/>
      <c r="C14" s="81"/>
      <c r="D14" s="82"/>
      <c r="E14" s="83"/>
      <c r="F14" s="83"/>
      <c r="G14" s="83" t="e">
        <f t="shared" si="0"/>
        <v>#DIV/0!</v>
      </c>
      <c r="H14" s="83" t="e">
        <f t="shared" si="1"/>
        <v>#DIV/0!</v>
      </c>
      <c r="I14" s="83" t="e">
        <f t="shared" si="2"/>
        <v>#DIV/0!</v>
      </c>
      <c r="J14" s="83" t="e">
        <f>SUM(E14:I14)</f>
        <v>#DIV/0!</v>
      </c>
      <c r="K14" s="83" t="e">
        <f>D14-J14</f>
        <v>#DIV/0!</v>
      </c>
      <c r="L14" s="84" t="e">
        <f t="shared" si="7"/>
        <v>#DIV/0!</v>
      </c>
      <c r="M14" s="85"/>
      <c r="N14" s="86" t="e">
        <f t="shared" si="9"/>
        <v>#DIV/0!</v>
      </c>
    </row>
    <row r="15" spans="1:14">
      <c r="A15" s="87"/>
      <c r="B15" s="81"/>
      <c r="C15" s="81"/>
      <c r="D15" s="82"/>
      <c r="E15" s="83"/>
      <c r="F15" s="83"/>
      <c r="G15" s="83" t="e">
        <f t="shared" si="0"/>
        <v>#DIV/0!</v>
      </c>
      <c r="H15" s="83" t="e">
        <f t="shared" si="1"/>
        <v>#DIV/0!</v>
      </c>
      <c r="I15" s="83" t="e">
        <f t="shared" si="2"/>
        <v>#DIV/0!</v>
      </c>
      <c r="J15" s="83" t="e">
        <f t="shared" ref="J15:J17" si="13">SUM(E15:I15)</f>
        <v>#DIV/0!</v>
      </c>
      <c r="K15" s="83" t="e">
        <f t="shared" ref="K15:K17" si="14">D15-J15</f>
        <v>#DIV/0!</v>
      </c>
      <c r="L15" s="84" t="e">
        <f t="shared" si="7"/>
        <v>#DIV/0!</v>
      </c>
      <c r="M15" s="85"/>
      <c r="N15" s="86" t="e">
        <f t="shared" si="9"/>
        <v>#DIV/0!</v>
      </c>
    </row>
    <row r="16" spans="1:14">
      <c r="A16" s="87"/>
      <c r="B16" s="81"/>
      <c r="C16" s="81"/>
      <c r="D16" s="82"/>
      <c r="E16" s="83"/>
      <c r="F16" s="83"/>
      <c r="G16" s="83" t="e">
        <f t="shared" si="0"/>
        <v>#DIV/0!</v>
      </c>
      <c r="H16" s="83" t="e">
        <f t="shared" si="1"/>
        <v>#DIV/0!</v>
      </c>
      <c r="I16" s="83" t="e">
        <f t="shared" si="2"/>
        <v>#DIV/0!</v>
      </c>
      <c r="J16" s="83" t="e">
        <f t="shared" si="13"/>
        <v>#DIV/0!</v>
      </c>
      <c r="K16" s="83" t="e">
        <f t="shared" si="14"/>
        <v>#DIV/0!</v>
      </c>
      <c r="L16" s="84" t="e">
        <f t="shared" si="7"/>
        <v>#DIV/0!</v>
      </c>
      <c r="M16" s="85"/>
      <c r="N16" s="86" t="e">
        <f t="shared" si="9"/>
        <v>#DIV/0!</v>
      </c>
    </row>
    <row r="17" spans="1:14">
      <c r="A17" s="87"/>
      <c r="B17" s="81"/>
      <c r="C17" s="81"/>
      <c r="D17" s="82"/>
      <c r="E17" s="83"/>
      <c r="F17" s="83"/>
      <c r="G17" s="83" t="e">
        <f t="shared" si="0"/>
        <v>#DIV/0!</v>
      </c>
      <c r="H17" s="83" t="e">
        <f t="shared" si="1"/>
        <v>#DIV/0!</v>
      </c>
      <c r="I17" s="83" t="e">
        <f t="shared" si="2"/>
        <v>#DIV/0!</v>
      </c>
      <c r="J17" s="83" t="e">
        <f t="shared" si="13"/>
        <v>#DIV/0!</v>
      </c>
      <c r="K17" s="83" t="e">
        <f t="shared" si="14"/>
        <v>#DIV/0!</v>
      </c>
      <c r="L17" s="84" t="e">
        <f t="shared" si="7"/>
        <v>#DIV/0!</v>
      </c>
      <c r="M17" s="85"/>
      <c r="N17" s="86" t="e">
        <f t="shared" si="9"/>
        <v>#DIV/0!</v>
      </c>
    </row>
    <row r="18" spans="1:14">
      <c r="A18" s="87"/>
      <c r="B18" s="81"/>
      <c r="C18" s="81"/>
      <c r="D18" s="82"/>
      <c r="E18" s="83"/>
      <c r="F18" s="83"/>
      <c r="G18" s="83" t="e">
        <f t="shared" si="0"/>
        <v>#DIV/0!</v>
      </c>
      <c r="H18" s="83" t="e">
        <f t="shared" si="1"/>
        <v>#DIV/0!</v>
      </c>
      <c r="I18" s="83" t="e">
        <f t="shared" si="2"/>
        <v>#DIV/0!</v>
      </c>
      <c r="J18" s="83" t="e">
        <f>SUM(E18:I18)</f>
        <v>#DIV/0!</v>
      </c>
      <c r="K18" s="83" t="e">
        <f>D18-J18</f>
        <v>#DIV/0!</v>
      </c>
      <c r="L18" s="84" t="e">
        <f t="shared" si="7"/>
        <v>#DIV/0!</v>
      </c>
      <c r="M18" s="85"/>
      <c r="N18" s="86" t="e">
        <f t="shared" si="9"/>
        <v>#DIV/0!</v>
      </c>
    </row>
    <row r="19" spans="1:14">
      <c r="A19" s="80" t="s">
        <v>238</v>
      </c>
      <c r="B19" s="81"/>
      <c r="C19" s="81"/>
      <c r="D19" s="82"/>
      <c r="E19" s="83"/>
      <c r="F19" s="83"/>
      <c r="G19" s="83"/>
      <c r="H19" s="83" t="e">
        <f t="shared" si="1"/>
        <v>#DIV/0!</v>
      </c>
      <c r="I19" s="83" t="e">
        <f t="shared" si="2"/>
        <v>#DIV/0!</v>
      </c>
      <c r="J19" s="83" t="e">
        <f>SUM(E19:I19)</f>
        <v>#DIV/0!</v>
      </c>
      <c r="K19" s="83" t="e">
        <f>D19-J19</f>
        <v>#DIV/0!</v>
      </c>
      <c r="L19" s="84" t="e">
        <f t="shared" si="7"/>
        <v>#DIV/0!</v>
      </c>
      <c r="M19" s="85"/>
      <c r="N19" s="86" t="e">
        <f t="shared" si="9"/>
        <v>#DIV/0!</v>
      </c>
    </row>
    <row r="20" spans="1:14">
      <c r="A20" s="87"/>
      <c r="B20" s="81"/>
      <c r="C20" s="81"/>
      <c r="D20" s="82"/>
      <c r="E20" s="83"/>
      <c r="F20" s="83"/>
      <c r="G20" s="83"/>
      <c r="H20" s="83" t="e">
        <f t="shared" si="1"/>
        <v>#DIV/0!</v>
      </c>
      <c r="I20" s="83" t="e">
        <f t="shared" si="2"/>
        <v>#DIV/0!</v>
      </c>
      <c r="J20" s="83" t="e">
        <f t="shared" ref="J20:J22" si="15">SUM(E20:I20)</f>
        <v>#DIV/0!</v>
      </c>
      <c r="K20" s="83" t="e">
        <f t="shared" ref="K20:K22" si="16">D20-J20</f>
        <v>#DIV/0!</v>
      </c>
      <c r="L20" s="84" t="e">
        <f t="shared" si="7"/>
        <v>#DIV/0!</v>
      </c>
      <c r="M20" s="85"/>
      <c r="N20" s="86" t="e">
        <f t="shared" si="9"/>
        <v>#DIV/0!</v>
      </c>
    </row>
    <row r="21" spans="1:14">
      <c r="A21" s="87"/>
      <c r="B21" s="81"/>
      <c r="C21" s="81"/>
      <c r="D21" s="82"/>
      <c r="E21" s="83"/>
      <c r="F21" s="83"/>
      <c r="G21" s="83"/>
      <c r="H21" s="83" t="e">
        <f t="shared" si="1"/>
        <v>#DIV/0!</v>
      </c>
      <c r="I21" s="83" t="e">
        <f t="shared" si="2"/>
        <v>#DIV/0!</v>
      </c>
      <c r="J21" s="83" t="e">
        <f t="shared" si="15"/>
        <v>#DIV/0!</v>
      </c>
      <c r="K21" s="83" t="e">
        <f t="shared" si="16"/>
        <v>#DIV/0!</v>
      </c>
      <c r="L21" s="84" t="e">
        <f t="shared" si="7"/>
        <v>#DIV/0!</v>
      </c>
      <c r="M21" s="85"/>
      <c r="N21" s="86" t="e">
        <f t="shared" si="9"/>
        <v>#DIV/0!</v>
      </c>
    </row>
    <row r="22" spans="1:14">
      <c r="A22" s="87"/>
      <c r="B22" s="81"/>
      <c r="C22" s="81"/>
      <c r="D22" s="82"/>
      <c r="E22" s="83"/>
      <c r="F22" s="83"/>
      <c r="G22" s="83"/>
      <c r="H22" s="83" t="e">
        <f t="shared" si="1"/>
        <v>#DIV/0!</v>
      </c>
      <c r="I22" s="83" t="e">
        <f t="shared" si="2"/>
        <v>#DIV/0!</v>
      </c>
      <c r="J22" s="83" t="e">
        <f t="shared" si="15"/>
        <v>#DIV/0!</v>
      </c>
      <c r="K22" s="83" t="e">
        <f t="shared" si="16"/>
        <v>#DIV/0!</v>
      </c>
      <c r="L22" s="84" t="e">
        <f t="shared" si="7"/>
        <v>#DIV/0!</v>
      </c>
      <c r="M22" s="85"/>
      <c r="N22" s="86" t="e">
        <f t="shared" si="9"/>
        <v>#DIV/0!</v>
      </c>
    </row>
    <row r="23" spans="1:14">
      <c r="A23" s="87"/>
      <c r="B23" s="81"/>
      <c r="C23" s="81"/>
      <c r="D23" s="82"/>
      <c r="E23" s="83"/>
      <c r="F23" s="83"/>
      <c r="G23" s="83"/>
      <c r="H23" s="83" t="e">
        <f t="shared" si="1"/>
        <v>#DIV/0!</v>
      </c>
      <c r="I23" s="83" t="e">
        <f t="shared" si="2"/>
        <v>#DIV/0!</v>
      </c>
      <c r="J23" s="83" t="e">
        <f>SUM(E23:I23)</f>
        <v>#DIV/0!</v>
      </c>
      <c r="K23" s="83" t="e">
        <f>D23-J23</f>
        <v>#DIV/0!</v>
      </c>
      <c r="L23" s="84" t="e">
        <f t="shared" si="7"/>
        <v>#DIV/0!</v>
      </c>
      <c r="M23" s="85"/>
      <c r="N23" s="86" t="e">
        <f t="shared" si="9"/>
        <v>#DIV/0!</v>
      </c>
    </row>
    <row r="24" spans="1:14">
      <c r="A24" s="80" t="s">
        <v>239</v>
      </c>
      <c r="B24" s="81"/>
      <c r="C24" s="81"/>
      <c r="D24" s="82"/>
      <c r="E24" s="83"/>
      <c r="F24" s="83"/>
      <c r="G24" s="83"/>
      <c r="H24" s="83"/>
      <c r="I24" s="83" t="e">
        <f t="shared" si="2"/>
        <v>#DIV/0!</v>
      </c>
      <c r="J24" s="83" t="e">
        <f>SUM(E24:I24)</f>
        <v>#DIV/0!</v>
      </c>
      <c r="K24" s="83" t="e">
        <f>D24-J24</f>
        <v>#DIV/0!</v>
      </c>
      <c r="L24" s="84" t="e">
        <f t="shared" si="7"/>
        <v>#DIV/0!</v>
      </c>
      <c r="M24" s="85"/>
      <c r="N24" s="86" t="e">
        <f t="shared" si="9"/>
        <v>#DIV/0!</v>
      </c>
    </row>
    <row r="25" spans="1:14">
      <c r="A25" s="87"/>
      <c r="B25" s="81"/>
      <c r="C25" s="81"/>
      <c r="D25" s="82"/>
      <c r="E25" s="83"/>
      <c r="F25" s="83"/>
      <c r="G25" s="83"/>
      <c r="H25" s="83"/>
      <c r="I25" s="83" t="e">
        <f t="shared" si="2"/>
        <v>#DIV/0!</v>
      </c>
      <c r="J25" s="83" t="e">
        <f>SUM(E25:I25)</f>
        <v>#DIV/0!</v>
      </c>
      <c r="K25" s="83" t="e">
        <f>D25-J25</f>
        <v>#DIV/0!</v>
      </c>
      <c r="L25" s="84" t="e">
        <f t="shared" si="7"/>
        <v>#DIV/0!</v>
      </c>
      <c r="M25" s="85"/>
      <c r="N25" s="86" t="e">
        <f t="shared" si="9"/>
        <v>#DIV/0!</v>
      </c>
    </row>
    <row r="26" spans="1:14">
      <c r="A26" s="87"/>
      <c r="B26" s="81"/>
      <c r="C26" s="81"/>
      <c r="D26" s="82"/>
      <c r="E26" s="83"/>
      <c r="F26" s="83"/>
      <c r="G26" s="83"/>
      <c r="H26" s="83"/>
      <c r="I26" s="83" t="e">
        <f t="shared" si="2"/>
        <v>#DIV/0!</v>
      </c>
      <c r="J26" s="83" t="e">
        <f t="shared" ref="J26:J28" si="17">SUM(E26:I26)</f>
        <v>#DIV/0!</v>
      </c>
      <c r="K26" s="83" t="e">
        <f t="shared" ref="K26:K28" si="18">D26-J26</f>
        <v>#DIV/0!</v>
      </c>
      <c r="L26" s="84" t="e">
        <f t="shared" si="7"/>
        <v>#DIV/0!</v>
      </c>
      <c r="M26" s="85"/>
      <c r="N26" s="86" t="e">
        <f t="shared" si="9"/>
        <v>#DIV/0!</v>
      </c>
    </row>
    <row r="27" spans="1:14">
      <c r="A27" s="87"/>
      <c r="B27" s="81"/>
      <c r="C27" s="81"/>
      <c r="D27" s="82"/>
      <c r="E27" s="83"/>
      <c r="F27" s="83"/>
      <c r="G27" s="83"/>
      <c r="H27" s="83"/>
      <c r="I27" s="83" t="e">
        <f t="shared" si="2"/>
        <v>#DIV/0!</v>
      </c>
      <c r="J27" s="83" t="e">
        <f t="shared" si="17"/>
        <v>#DIV/0!</v>
      </c>
      <c r="K27" s="83" t="e">
        <f t="shared" si="18"/>
        <v>#DIV/0!</v>
      </c>
      <c r="L27" s="84" t="e">
        <f t="shared" si="7"/>
        <v>#DIV/0!</v>
      </c>
      <c r="M27" s="85"/>
      <c r="N27" s="86" t="e">
        <f t="shared" si="9"/>
        <v>#DIV/0!</v>
      </c>
    </row>
    <row r="28" spans="1:14">
      <c r="A28" s="87"/>
      <c r="B28" s="81"/>
      <c r="C28" s="81"/>
      <c r="D28" s="82"/>
      <c r="E28" s="83"/>
      <c r="F28" s="83"/>
      <c r="G28" s="83"/>
      <c r="H28" s="83"/>
      <c r="I28" s="83" t="e">
        <f t="shared" si="2"/>
        <v>#DIV/0!</v>
      </c>
      <c r="J28" s="83" t="e">
        <f t="shared" si="17"/>
        <v>#DIV/0!</v>
      </c>
      <c r="K28" s="83" t="e">
        <f t="shared" si="18"/>
        <v>#DIV/0!</v>
      </c>
      <c r="L28" s="84" t="e">
        <f t="shared" si="7"/>
        <v>#DIV/0!</v>
      </c>
      <c r="M28" s="85"/>
      <c r="N28" s="86" t="e">
        <f t="shared" si="9"/>
        <v>#DIV/0!</v>
      </c>
    </row>
    <row r="29" spans="1:14">
      <c r="A29" s="88"/>
      <c r="L29" s="89"/>
      <c r="M29" s="90"/>
      <c r="N29" s="91"/>
    </row>
    <row r="30" spans="1:14" ht="14.25" thickBot="1">
      <c r="A30" s="88"/>
      <c r="E30" s="92" t="e">
        <f>ROUND(SUM(E4:E29),0)</f>
        <v>#DIV/0!</v>
      </c>
      <c r="F30" s="92" t="e">
        <f>ROUND(SUM(F4:F29),0)</f>
        <v>#DIV/0!</v>
      </c>
      <c r="G30" s="92" t="e">
        <f>ROUND(SUM(G4:G29),0)</f>
        <v>#DIV/0!</v>
      </c>
      <c r="H30" s="92" t="e">
        <f>ROUND(SUM(H4:H29),0)</f>
        <v>#DIV/0!</v>
      </c>
      <c r="I30" s="92" t="e">
        <f>ROUND(SUM(I4:I29),0)</f>
        <v>#DIV/0!</v>
      </c>
      <c r="L30" s="89"/>
      <c r="M30" s="90"/>
      <c r="N30" s="91"/>
    </row>
    <row r="31" spans="1:14" ht="15" thickTop="1" thickBot="1">
      <c r="A31" s="93"/>
      <c r="B31" s="94"/>
      <c r="C31" s="94"/>
      <c r="D31" s="95"/>
      <c r="E31" s="94"/>
      <c r="F31" s="94"/>
      <c r="G31" s="94"/>
      <c r="H31" s="94"/>
      <c r="I31" s="94"/>
      <c r="J31" s="94"/>
      <c r="K31" s="94"/>
      <c r="L31" s="96"/>
      <c r="M31" s="97"/>
      <c r="N31" s="98"/>
    </row>
    <row r="32" spans="1:14" ht="14.25" thickBot="1">
      <c r="D32" s="99"/>
      <c r="L32" s="89"/>
      <c r="M32" s="90"/>
      <c r="N32" s="89"/>
    </row>
    <row r="33" spans="1:14" ht="15.75" thickBot="1">
      <c r="A33" s="244" t="s">
        <v>240</v>
      </c>
      <c r="B33" s="245"/>
      <c r="C33" s="246"/>
      <c r="D33" s="100"/>
      <c r="L33" s="101"/>
      <c r="M33" s="102"/>
      <c r="N33" s="101"/>
    </row>
    <row r="34" spans="1:14" ht="26.25">
      <c r="A34" s="247" t="s">
        <v>241</v>
      </c>
      <c r="B34" s="248"/>
      <c r="C34" s="103" t="s">
        <v>242</v>
      </c>
      <c r="D34" s="104"/>
      <c r="L34" s="101"/>
      <c r="M34" s="102"/>
      <c r="N34" s="101"/>
    </row>
    <row r="35" spans="1:14">
      <c r="A35" s="239" t="s">
        <v>243</v>
      </c>
      <c r="B35" s="240"/>
      <c r="C35" s="105" t="s">
        <v>244</v>
      </c>
      <c r="L35" s="101"/>
      <c r="M35" s="102"/>
      <c r="N35" s="101"/>
    </row>
    <row r="36" spans="1:14">
      <c r="A36" s="239" t="s">
        <v>245</v>
      </c>
      <c r="B36" s="240"/>
      <c r="C36" s="106">
        <v>3</v>
      </c>
      <c r="L36" s="101"/>
      <c r="M36" s="107"/>
      <c r="N36" s="101"/>
    </row>
    <row r="37" spans="1:14">
      <c r="A37" s="249" t="s">
        <v>246</v>
      </c>
      <c r="B37" s="250"/>
      <c r="C37" s="108" t="s">
        <v>247</v>
      </c>
      <c r="L37" s="101"/>
      <c r="M37" s="107"/>
      <c r="N37" s="101"/>
    </row>
    <row r="38" spans="1:14">
      <c r="A38" s="249" t="s">
        <v>248</v>
      </c>
      <c r="B38" s="250"/>
      <c r="C38" s="109">
        <v>5</v>
      </c>
      <c r="L38" s="89"/>
      <c r="M38" s="90"/>
      <c r="N38" s="89"/>
    </row>
    <row r="39" spans="1:14">
      <c r="A39" s="249" t="s">
        <v>249</v>
      </c>
      <c r="B39" s="250"/>
      <c r="C39" s="109">
        <v>5</v>
      </c>
      <c r="L39" s="89"/>
      <c r="M39" s="90"/>
      <c r="N39" s="89"/>
    </row>
    <row r="40" spans="1:14">
      <c r="A40" s="239" t="s">
        <v>250</v>
      </c>
      <c r="B40" s="240"/>
      <c r="C40" s="109">
        <v>5</v>
      </c>
      <c r="L40" s="89"/>
      <c r="M40" s="90"/>
      <c r="N40" s="89"/>
    </row>
    <row r="41" spans="1:14">
      <c r="A41" s="239" t="s">
        <v>196</v>
      </c>
      <c r="B41" s="240"/>
      <c r="C41" s="109">
        <v>5</v>
      </c>
      <c r="L41" s="89"/>
      <c r="M41" s="90"/>
      <c r="N41" s="89"/>
    </row>
    <row r="42" spans="1:14">
      <c r="A42" s="239" t="s">
        <v>251</v>
      </c>
      <c r="B42" s="240"/>
      <c r="C42" s="109">
        <v>10</v>
      </c>
      <c r="L42" s="89"/>
      <c r="M42" s="90"/>
      <c r="N42" s="89"/>
    </row>
    <row r="43" spans="1:14">
      <c r="A43" s="239" t="s">
        <v>252</v>
      </c>
      <c r="B43" s="240"/>
      <c r="C43" s="109">
        <v>5</v>
      </c>
    </row>
    <row r="44" spans="1:14">
      <c r="A44" s="239" t="s">
        <v>253</v>
      </c>
      <c r="B44" s="240"/>
      <c r="C44" s="109">
        <v>7</v>
      </c>
    </row>
    <row r="45" spans="1:14">
      <c r="A45" s="239" t="s">
        <v>254</v>
      </c>
      <c r="B45" s="240"/>
      <c r="C45" s="109">
        <v>7</v>
      </c>
    </row>
    <row r="46" spans="1:14">
      <c r="A46" s="239" t="s">
        <v>255</v>
      </c>
      <c r="B46" s="240"/>
      <c r="C46" s="105" t="s">
        <v>256</v>
      </c>
    </row>
    <row r="47" spans="1:14">
      <c r="A47" s="239" t="s">
        <v>257</v>
      </c>
      <c r="B47" s="240"/>
      <c r="C47" s="108" t="s">
        <v>258</v>
      </c>
    </row>
    <row r="48" spans="1:14" ht="14.25" thickBot="1">
      <c r="A48" s="241" t="s">
        <v>259</v>
      </c>
      <c r="B48" s="242"/>
      <c r="C48" s="110">
        <v>15</v>
      </c>
    </row>
  </sheetData>
  <mergeCells count="17">
    <mergeCell ref="A43:B43"/>
    <mergeCell ref="A1:N1"/>
    <mergeCell ref="A33:C33"/>
    <mergeCell ref="A34:B34"/>
    <mergeCell ref="A35:B35"/>
    <mergeCell ref="A36:B36"/>
    <mergeCell ref="A37:B37"/>
    <mergeCell ref="A38:B38"/>
    <mergeCell ref="A39:B39"/>
    <mergeCell ref="A40:B40"/>
    <mergeCell ref="A41:B41"/>
    <mergeCell ref="A42:B42"/>
    <mergeCell ref="A44:B44"/>
    <mergeCell ref="A45:B45"/>
    <mergeCell ref="A46:B46"/>
    <mergeCell ref="A47:B47"/>
    <mergeCell ref="A48:B48"/>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3D00C49066A74438A4572A26AD685DC" ma:contentTypeVersion="15" ma:contentTypeDescription="Create a new document." ma:contentTypeScope="" ma:versionID="cf21e9309a1a0ec49275ed05900c3ab8">
  <xsd:schema xmlns:xsd="http://www.w3.org/2001/XMLSchema" xmlns:xs="http://www.w3.org/2001/XMLSchema" xmlns:p="http://schemas.microsoft.com/office/2006/metadata/properties" xmlns:ns2="8ae96d7f-8b87-43d2-a57a-decf03058f42" xmlns:ns3="59d54e44-d86c-49d2-8a93-a07c84de276b" targetNamespace="http://schemas.microsoft.com/office/2006/metadata/properties" ma:root="true" ma:fieldsID="45d93b651b19c65ed3edff79212e2977" ns2:_="" ns3:_="">
    <xsd:import namespace="8ae96d7f-8b87-43d2-a57a-decf03058f42"/>
    <xsd:import namespace="59d54e44-d86c-49d2-8a93-a07c84de276b"/>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e96d7f-8b87-43d2-a57a-decf03058f4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00f4d987-2907-4bcc-887c-c2081ee57836"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9d54e44-d86c-49d2-8a93-a07c84de276b"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e77aa8c9-5bcf-4c81-9c3e-3314d7b8d8cb}" ma:internalName="TaxCatchAll" ma:showField="CatchAllData" ma:web="59d54e44-d86c-49d2-8a93-a07c84de276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59d54e44-d86c-49d2-8a93-a07c84de276b" xsi:nil="true"/>
    <lcf76f155ced4ddcb4097134ff3c332f xmlns="8ae96d7f-8b87-43d2-a57a-decf03058f42">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3E803B7-5886-4B4B-993B-F5E3956FA7F1}"/>
</file>

<file path=customXml/itemProps2.xml><?xml version="1.0" encoding="utf-8"?>
<ds:datastoreItem xmlns:ds="http://schemas.openxmlformats.org/officeDocument/2006/customXml" ds:itemID="{9AD96E12-7C96-440E-8F6F-DE24560A97D2}"/>
</file>

<file path=customXml/itemProps3.xml><?xml version="1.0" encoding="utf-8"?>
<ds:datastoreItem xmlns:ds="http://schemas.openxmlformats.org/officeDocument/2006/customXml" ds:itemID="{2C082F83-96F7-4524-B9A0-10E7FABB62D4}"/>
</file>

<file path=docProps/app.xml><?xml version="1.0" encoding="utf-8"?>
<Properties xmlns="http://schemas.openxmlformats.org/officeDocument/2006/extended-properties" xmlns:vt="http://schemas.openxmlformats.org/officeDocument/2006/docPropsVTypes">
  <Application>Microsoft Excel Online</Application>
  <Manager/>
  <Company>City of Cape Town</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CoCT</dc:creator>
  <cp:keywords/>
  <dc:description/>
  <cp:lastModifiedBy>Mark Batchelder - Admin</cp:lastModifiedBy>
  <cp:revision/>
  <dcterms:created xsi:type="dcterms:W3CDTF">2007-11-21T08:09:31Z</dcterms:created>
  <dcterms:modified xsi:type="dcterms:W3CDTF">2024-11-27T09:51:51Z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0x010100C3D00C49066A74438A4572A26AD685DC</vt:lpwstr>
  </property>
  <property fmtid="{D5CDD505-2E9C-101B-9397-08002B2CF9AE}" pid="3" name="MediaServiceImageTags">
    <vt:lpwstr/>
  </property>
</Properties>
</file>